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1 AUTOCAD\25 OÚ Doubrava ATMOS\Export\"/>
    </mc:Choice>
  </mc:AlternateContent>
  <bookViews>
    <workbookView xWindow="0" yWindow="0" windowWidth="9660" windowHeight="5496" activeTab="3"/>
  </bookViews>
  <sheets>
    <sheet name="Stavební rozpočet" sheetId="1" r:id="rId1"/>
    <sheet name="Stavební rozpočet - součet" sheetId="2" r:id="rId2"/>
    <sheet name="Výkaz výměr" sheetId="3" r:id="rId3"/>
    <sheet name="Krycí list rozpočtu" sheetId="4" r:id="rId4"/>
    <sheet name="VORN" sheetId="5" r:id="rId5"/>
  </sheets>
  <definedNames>
    <definedName name="vorn_sum">VORN!$I$36:$I$36</definedName>
  </definedNames>
  <calcPr calcId="152511"/>
</workbook>
</file>

<file path=xl/calcChain.xml><?xml version="1.0" encoding="utf-8"?>
<calcChain xmlns="http://schemas.openxmlformats.org/spreadsheetml/2006/main">
  <c r="C2" i="4" l="1"/>
  <c r="F2" i="4"/>
  <c r="C4" i="4"/>
  <c r="F4" i="4"/>
  <c r="C6" i="4"/>
  <c r="F6" i="4"/>
  <c r="C8" i="4"/>
  <c r="C10" i="4"/>
  <c r="F10" i="4"/>
  <c r="I10" i="4"/>
  <c r="C14" i="4"/>
  <c r="F14" i="4"/>
  <c r="I14" i="4"/>
  <c r="C15" i="4"/>
  <c r="F15" i="4"/>
  <c r="I15" i="4"/>
  <c r="C16" i="4"/>
  <c r="F16" i="4"/>
  <c r="I16" i="4"/>
  <c r="C17" i="4"/>
  <c r="I17" i="4"/>
  <c r="C18" i="4"/>
  <c r="I18" i="4"/>
  <c r="C19" i="4"/>
  <c r="I19" i="4"/>
  <c r="C20" i="4"/>
  <c r="C21" i="4"/>
  <c r="C22" i="4"/>
  <c r="F22" i="4"/>
  <c r="I22" i="4"/>
  <c r="I24" i="4"/>
  <c r="C27" i="4"/>
  <c r="C28" i="4"/>
  <c r="F28" i="4"/>
  <c r="I28" i="4"/>
  <c r="C29" i="4"/>
  <c r="F29" i="4"/>
  <c r="I29" i="4"/>
  <c r="J12" i="1"/>
  <c r="K12" i="1"/>
  <c r="L12" i="1"/>
  <c r="N12" i="1"/>
  <c r="AS12" i="1"/>
  <c r="AT12" i="1"/>
  <c r="AU12" i="1"/>
  <c r="J13" i="1"/>
  <c r="K13" i="1"/>
  <c r="L13" i="1"/>
  <c r="N13" i="1"/>
  <c r="Z13" i="1"/>
  <c r="AB13" i="1"/>
  <c r="AC13" i="1"/>
  <c r="AD13" i="1"/>
  <c r="AE13" i="1"/>
  <c r="AF13" i="1"/>
  <c r="AG13" i="1"/>
  <c r="AH13" i="1"/>
  <c r="AJ13" i="1"/>
  <c r="AK13" i="1"/>
  <c r="AL13" i="1"/>
  <c r="AO13" i="1"/>
  <c r="AP13" i="1"/>
  <c r="AV13" i="1"/>
  <c r="AW13" i="1"/>
  <c r="AX13" i="1"/>
  <c r="BC13" i="1"/>
  <c r="BD13" i="1"/>
  <c r="BF13" i="1"/>
  <c r="BH13" i="1"/>
  <c r="BI13" i="1"/>
  <c r="BJ13" i="1"/>
  <c r="J14" i="1"/>
  <c r="K14" i="1"/>
  <c r="L14" i="1"/>
  <c r="N14" i="1"/>
  <c r="AS14" i="1"/>
  <c r="AT14" i="1"/>
  <c r="AU14" i="1"/>
  <c r="J15" i="1"/>
  <c r="K15" i="1"/>
  <c r="L15" i="1"/>
  <c r="N15" i="1"/>
  <c r="Z15" i="1"/>
  <c r="AB15" i="1"/>
  <c r="AC15" i="1"/>
  <c r="AD15" i="1"/>
  <c r="AE15" i="1"/>
  <c r="AF15" i="1"/>
  <c r="AG15" i="1"/>
  <c r="AH15" i="1"/>
  <c r="AJ15" i="1"/>
  <c r="AK15" i="1"/>
  <c r="AL15" i="1"/>
  <c r="AO15" i="1"/>
  <c r="AP15" i="1"/>
  <c r="AV15" i="1"/>
  <c r="AW15" i="1"/>
  <c r="AX15" i="1"/>
  <c r="BC15" i="1"/>
  <c r="BD15" i="1"/>
  <c r="BF15" i="1"/>
  <c r="BH15" i="1"/>
  <c r="BI15" i="1"/>
  <c r="BJ15" i="1"/>
  <c r="J16" i="1"/>
  <c r="K16" i="1"/>
  <c r="L16" i="1"/>
  <c r="N16" i="1"/>
  <c r="AS16" i="1"/>
  <c r="AT16" i="1"/>
  <c r="AU16" i="1"/>
  <c r="J17" i="1"/>
  <c r="K17" i="1"/>
  <c r="L17" i="1"/>
  <c r="N17" i="1"/>
  <c r="Z17" i="1"/>
  <c r="AB17" i="1"/>
  <c r="AC17" i="1"/>
  <c r="AD17" i="1"/>
  <c r="AE17" i="1"/>
  <c r="AF17" i="1"/>
  <c r="AG17" i="1"/>
  <c r="AH17" i="1"/>
  <c r="AJ17" i="1"/>
  <c r="AK17" i="1"/>
  <c r="AL17" i="1"/>
  <c r="AO17" i="1"/>
  <c r="AP17" i="1"/>
  <c r="AV17" i="1"/>
  <c r="AW17" i="1"/>
  <c r="AX17" i="1"/>
  <c r="BC17" i="1"/>
  <c r="BD17" i="1"/>
  <c r="BF17" i="1"/>
  <c r="BH17" i="1"/>
  <c r="BI17" i="1"/>
  <c r="BJ17" i="1"/>
  <c r="J18" i="1"/>
  <c r="K18" i="1"/>
  <c r="L18" i="1"/>
  <c r="N18" i="1"/>
  <c r="AS18" i="1"/>
  <c r="AT18" i="1"/>
  <c r="AU18" i="1"/>
  <c r="J19" i="1"/>
  <c r="K19" i="1"/>
  <c r="L19" i="1"/>
  <c r="N19" i="1"/>
  <c r="Z19" i="1"/>
  <c r="AB19" i="1"/>
  <c r="AC19" i="1"/>
  <c r="AD19" i="1"/>
  <c r="AE19" i="1"/>
  <c r="AF19" i="1"/>
  <c r="AG19" i="1"/>
  <c r="AH19" i="1"/>
  <c r="AJ19" i="1"/>
  <c r="AK19" i="1"/>
  <c r="AL19" i="1"/>
  <c r="AO19" i="1"/>
  <c r="AP19" i="1"/>
  <c r="AV19" i="1"/>
  <c r="AW19" i="1"/>
  <c r="AX19" i="1"/>
  <c r="BC19" i="1"/>
  <c r="BD19" i="1"/>
  <c r="BF19" i="1"/>
  <c r="BH19" i="1"/>
  <c r="BI19" i="1"/>
  <c r="BJ19" i="1"/>
  <c r="J21" i="1"/>
  <c r="K21" i="1"/>
  <c r="L21" i="1"/>
  <c r="N21" i="1"/>
  <c r="AS21" i="1"/>
  <c r="AT21" i="1"/>
  <c r="AU21" i="1"/>
  <c r="J22" i="1"/>
  <c r="K22" i="1"/>
  <c r="L22" i="1"/>
  <c r="N22" i="1"/>
  <c r="Z22" i="1"/>
  <c r="AB22" i="1"/>
  <c r="AC22" i="1"/>
  <c r="AD22" i="1"/>
  <c r="AE22" i="1"/>
  <c r="AF22" i="1"/>
  <c r="AG22" i="1"/>
  <c r="AH22" i="1"/>
  <c r="AJ22" i="1"/>
  <c r="AK22" i="1"/>
  <c r="AL22" i="1"/>
  <c r="AO22" i="1"/>
  <c r="AP22" i="1"/>
  <c r="AV22" i="1"/>
  <c r="AW22" i="1"/>
  <c r="AX22" i="1"/>
  <c r="BC22" i="1"/>
  <c r="BD22" i="1"/>
  <c r="BF22" i="1"/>
  <c r="BH22" i="1"/>
  <c r="BI22" i="1"/>
  <c r="BJ22" i="1"/>
  <c r="J23" i="1"/>
  <c r="K23" i="1"/>
  <c r="L23" i="1"/>
  <c r="N23" i="1"/>
  <c r="Z23" i="1"/>
  <c r="AB23" i="1"/>
  <c r="AC23" i="1"/>
  <c r="AD23" i="1"/>
  <c r="AE23" i="1"/>
  <c r="AF23" i="1"/>
  <c r="AG23" i="1"/>
  <c r="AH23" i="1"/>
  <c r="AJ23" i="1"/>
  <c r="AK23" i="1"/>
  <c r="AL23" i="1"/>
  <c r="AO23" i="1"/>
  <c r="AP23" i="1"/>
  <c r="AV23" i="1"/>
  <c r="AW23" i="1"/>
  <c r="AX23" i="1"/>
  <c r="BC23" i="1"/>
  <c r="BD23" i="1"/>
  <c r="BF23" i="1"/>
  <c r="BH23" i="1"/>
  <c r="BI23" i="1"/>
  <c r="BJ23" i="1"/>
  <c r="J24" i="1"/>
  <c r="K24" i="1"/>
  <c r="L24" i="1"/>
  <c r="N24" i="1"/>
  <c r="Z24" i="1"/>
  <c r="AB24" i="1"/>
  <c r="AC24" i="1"/>
  <c r="AD24" i="1"/>
  <c r="AE24" i="1"/>
  <c r="AF24" i="1"/>
  <c r="AG24" i="1"/>
  <c r="AH24" i="1"/>
  <c r="AJ24" i="1"/>
  <c r="AK24" i="1"/>
  <c r="AL24" i="1"/>
  <c r="AO24" i="1"/>
  <c r="AP24" i="1"/>
  <c r="AV24" i="1"/>
  <c r="AW24" i="1"/>
  <c r="AX24" i="1"/>
  <c r="BC24" i="1"/>
  <c r="BD24" i="1"/>
  <c r="BF24" i="1"/>
  <c r="BH24" i="1"/>
  <c r="BI24" i="1"/>
  <c r="BJ24" i="1"/>
  <c r="J25" i="1"/>
  <c r="K25" i="1"/>
  <c r="L25" i="1"/>
  <c r="N25" i="1"/>
  <c r="AS25" i="1"/>
  <c r="AT25" i="1"/>
  <c r="AU25" i="1"/>
  <c r="J26" i="1"/>
  <c r="K26" i="1"/>
  <c r="L26" i="1"/>
  <c r="N26" i="1"/>
  <c r="Z26" i="1"/>
  <c r="AB26" i="1"/>
  <c r="AC26" i="1"/>
  <c r="AD26" i="1"/>
  <c r="AE26" i="1"/>
  <c r="AF26" i="1"/>
  <c r="AG26" i="1"/>
  <c r="AH26" i="1"/>
  <c r="AJ26" i="1"/>
  <c r="AK26" i="1"/>
  <c r="AL26" i="1"/>
  <c r="AO26" i="1"/>
  <c r="AP26" i="1"/>
  <c r="AV26" i="1"/>
  <c r="AW26" i="1"/>
  <c r="AX26" i="1"/>
  <c r="BC26" i="1"/>
  <c r="BD26" i="1"/>
  <c r="BF26" i="1"/>
  <c r="BH26" i="1"/>
  <c r="BI26" i="1"/>
  <c r="BJ26" i="1"/>
  <c r="J27" i="1"/>
  <c r="K27" i="1"/>
  <c r="L27" i="1"/>
  <c r="N27" i="1"/>
  <c r="Z27" i="1"/>
  <c r="AB27" i="1"/>
  <c r="AC27" i="1"/>
  <c r="AD27" i="1"/>
  <c r="AE27" i="1"/>
  <c r="AF27" i="1"/>
  <c r="AG27" i="1"/>
  <c r="AH27" i="1"/>
  <c r="AJ27" i="1"/>
  <c r="AK27" i="1"/>
  <c r="AL27" i="1"/>
  <c r="AO27" i="1"/>
  <c r="AP27" i="1"/>
  <c r="AV27" i="1"/>
  <c r="AW27" i="1"/>
  <c r="AX27" i="1"/>
  <c r="BC27" i="1"/>
  <c r="BD27" i="1"/>
  <c r="BF27" i="1"/>
  <c r="BH27" i="1"/>
  <c r="BI27" i="1"/>
  <c r="BJ27" i="1"/>
  <c r="J28" i="1"/>
  <c r="K28" i="1"/>
  <c r="L28" i="1"/>
  <c r="N28" i="1"/>
  <c r="AS28" i="1"/>
  <c r="AT28" i="1"/>
  <c r="AU28" i="1"/>
  <c r="J29" i="1"/>
  <c r="K29" i="1"/>
  <c r="L29" i="1"/>
  <c r="N29" i="1"/>
  <c r="Z29" i="1"/>
  <c r="AB29" i="1"/>
  <c r="AC29" i="1"/>
  <c r="AD29" i="1"/>
  <c r="AE29" i="1"/>
  <c r="AF29" i="1"/>
  <c r="AG29" i="1"/>
  <c r="AH29" i="1"/>
  <c r="AJ29" i="1"/>
  <c r="AK29" i="1"/>
  <c r="AL29" i="1"/>
  <c r="AO29" i="1"/>
  <c r="AP29" i="1"/>
  <c r="AV29" i="1"/>
  <c r="AW29" i="1"/>
  <c r="AX29" i="1"/>
  <c r="BC29" i="1"/>
  <c r="BD29" i="1"/>
  <c r="BF29" i="1"/>
  <c r="BH29" i="1"/>
  <c r="BI29" i="1"/>
  <c r="BJ29" i="1"/>
  <c r="J30" i="1"/>
  <c r="K30" i="1"/>
  <c r="L30" i="1"/>
  <c r="N30" i="1"/>
  <c r="Z30" i="1"/>
  <c r="AB30" i="1"/>
  <c r="AC30" i="1"/>
  <c r="AD30" i="1"/>
  <c r="AE30" i="1"/>
  <c r="AF30" i="1"/>
  <c r="AG30" i="1"/>
  <c r="AH30" i="1"/>
  <c r="AJ30" i="1"/>
  <c r="AK30" i="1"/>
  <c r="AL30" i="1"/>
  <c r="AO30" i="1"/>
  <c r="AP30" i="1"/>
  <c r="AV30" i="1"/>
  <c r="AW30" i="1"/>
  <c r="AX30" i="1"/>
  <c r="BC30" i="1"/>
  <c r="BD30" i="1"/>
  <c r="BF30" i="1"/>
  <c r="BH30" i="1"/>
  <c r="BI30" i="1"/>
  <c r="BJ30" i="1"/>
  <c r="J31" i="1"/>
  <c r="K31" i="1"/>
  <c r="L31" i="1"/>
  <c r="N31" i="1"/>
  <c r="Z31" i="1"/>
  <c r="AB31" i="1"/>
  <c r="AC31" i="1"/>
  <c r="AD31" i="1"/>
  <c r="AE31" i="1"/>
  <c r="AF31" i="1"/>
  <c r="AG31" i="1"/>
  <c r="AH31" i="1"/>
  <c r="AJ31" i="1"/>
  <c r="AK31" i="1"/>
  <c r="AL31" i="1"/>
  <c r="AO31" i="1"/>
  <c r="AP31" i="1"/>
  <c r="AV31" i="1"/>
  <c r="AW31" i="1"/>
  <c r="AX31" i="1"/>
  <c r="BC31" i="1"/>
  <c r="BD31" i="1"/>
  <c r="BF31" i="1"/>
  <c r="BH31" i="1"/>
  <c r="BI31" i="1"/>
  <c r="BJ31" i="1"/>
  <c r="J32" i="1"/>
  <c r="K32" i="1"/>
  <c r="L32" i="1"/>
  <c r="N32" i="1"/>
  <c r="Z32" i="1"/>
  <c r="AB32" i="1"/>
  <c r="AC32" i="1"/>
  <c r="AD32" i="1"/>
  <c r="AE32" i="1"/>
  <c r="AF32" i="1"/>
  <c r="AG32" i="1"/>
  <c r="AH32" i="1"/>
  <c r="AJ32" i="1"/>
  <c r="AK32" i="1"/>
  <c r="AL32" i="1"/>
  <c r="AO32" i="1"/>
  <c r="AP32" i="1"/>
  <c r="AV32" i="1"/>
  <c r="AW32" i="1"/>
  <c r="AX32" i="1"/>
  <c r="BC32" i="1"/>
  <c r="BD32" i="1"/>
  <c r="BF32" i="1"/>
  <c r="BH32" i="1"/>
  <c r="BI32" i="1"/>
  <c r="BJ32" i="1"/>
  <c r="J33" i="1"/>
  <c r="K33" i="1"/>
  <c r="L33" i="1"/>
  <c r="N33" i="1"/>
  <c r="Z33" i="1"/>
  <c r="AB33" i="1"/>
  <c r="AC33" i="1"/>
  <c r="AD33" i="1"/>
  <c r="AE33" i="1"/>
  <c r="AF33" i="1"/>
  <c r="AG33" i="1"/>
  <c r="AH33" i="1"/>
  <c r="AJ33" i="1"/>
  <c r="AK33" i="1"/>
  <c r="AL33" i="1"/>
  <c r="AO33" i="1"/>
  <c r="AP33" i="1"/>
  <c r="AV33" i="1"/>
  <c r="AW33" i="1"/>
  <c r="AX33" i="1"/>
  <c r="BC33" i="1"/>
  <c r="BD33" i="1"/>
  <c r="BF33" i="1"/>
  <c r="BH33" i="1"/>
  <c r="BI33" i="1"/>
  <c r="BJ33" i="1"/>
  <c r="J34" i="1"/>
  <c r="K34" i="1"/>
  <c r="L34" i="1"/>
  <c r="N34" i="1"/>
  <c r="Z34" i="1"/>
  <c r="AB34" i="1"/>
  <c r="AC34" i="1"/>
  <c r="AD34" i="1"/>
  <c r="AE34" i="1"/>
  <c r="AF34" i="1"/>
  <c r="AG34" i="1"/>
  <c r="AH34" i="1"/>
  <c r="AJ34" i="1"/>
  <c r="AK34" i="1"/>
  <c r="AL34" i="1"/>
  <c r="AO34" i="1"/>
  <c r="AP34" i="1"/>
  <c r="AV34" i="1"/>
  <c r="AW34" i="1"/>
  <c r="AX34" i="1"/>
  <c r="BC34" i="1"/>
  <c r="BD34" i="1"/>
  <c r="BF34" i="1"/>
  <c r="BH34" i="1"/>
  <c r="BI34" i="1"/>
  <c r="BJ34" i="1"/>
  <c r="J35" i="1"/>
  <c r="K35" i="1"/>
  <c r="L35" i="1"/>
  <c r="N35" i="1"/>
  <c r="Z35" i="1"/>
  <c r="AB35" i="1"/>
  <c r="AC35" i="1"/>
  <c r="AD35" i="1"/>
  <c r="AE35" i="1"/>
  <c r="AF35" i="1"/>
  <c r="AG35" i="1"/>
  <c r="AH35" i="1"/>
  <c r="AJ35" i="1"/>
  <c r="AK35" i="1"/>
  <c r="AL35" i="1"/>
  <c r="AO35" i="1"/>
  <c r="AP35" i="1"/>
  <c r="AV35" i="1"/>
  <c r="AW35" i="1"/>
  <c r="AX35" i="1"/>
  <c r="BC35" i="1"/>
  <c r="BD35" i="1"/>
  <c r="BF35" i="1"/>
  <c r="BH35" i="1"/>
  <c r="BI35" i="1"/>
  <c r="BJ35" i="1"/>
  <c r="J36" i="1"/>
  <c r="K36" i="1"/>
  <c r="L36" i="1"/>
  <c r="N36" i="1"/>
  <c r="Z36" i="1"/>
  <c r="AB36" i="1"/>
  <c r="AC36" i="1"/>
  <c r="AD36" i="1"/>
  <c r="AE36" i="1"/>
  <c r="AF36" i="1"/>
  <c r="AG36" i="1"/>
  <c r="AH36" i="1"/>
  <c r="AJ36" i="1"/>
  <c r="AK36" i="1"/>
  <c r="AL36" i="1"/>
  <c r="AO36" i="1"/>
  <c r="AP36" i="1"/>
  <c r="AV36" i="1"/>
  <c r="AW36" i="1"/>
  <c r="AX36" i="1"/>
  <c r="BC36" i="1"/>
  <c r="BD36" i="1"/>
  <c r="BF36" i="1"/>
  <c r="BH36" i="1"/>
  <c r="BI36" i="1"/>
  <c r="BJ36" i="1"/>
  <c r="J37" i="1"/>
  <c r="K37" i="1"/>
  <c r="L37" i="1"/>
  <c r="N37" i="1"/>
  <c r="AS37" i="1"/>
  <c r="AT37" i="1"/>
  <c r="AU37" i="1"/>
  <c r="J38" i="1"/>
  <c r="K38" i="1"/>
  <c r="L38" i="1"/>
  <c r="N38" i="1"/>
  <c r="Z38" i="1"/>
  <c r="AB38" i="1"/>
  <c r="AC38" i="1"/>
  <c r="AD38" i="1"/>
  <c r="AE38" i="1"/>
  <c r="AF38" i="1"/>
  <c r="AG38" i="1"/>
  <c r="AH38" i="1"/>
  <c r="AJ38" i="1"/>
  <c r="AK38" i="1"/>
  <c r="AL38" i="1"/>
  <c r="AO38" i="1"/>
  <c r="AP38" i="1"/>
  <c r="AV38" i="1"/>
  <c r="AW38" i="1"/>
  <c r="AX38" i="1"/>
  <c r="BC38" i="1"/>
  <c r="BD38" i="1"/>
  <c r="BF38" i="1"/>
  <c r="BH38" i="1"/>
  <c r="BI38" i="1"/>
  <c r="BJ38" i="1"/>
  <c r="J39" i="1"/>
  <c r="K39" i="1"/>
  <c r="L39" i="1"/>
  <c r="N39" i="1"/>
  <c r="Z39" i="1"/>
  <c r="AB39" i="1"/>
  <c r="AC39" i="1"/>
  <c r="AD39" i="1"/>
  <c r="AE39" i="1"/>
  <c r="AF39" i="1"/>
  <c r="AG39" i="1"/>
  <c r="AH39" i="1"/>
  <c r="AJ39" i="1"/>
  <c r="AK39" i="1"/>
  <c r="AL39" i="1"/>
  <c r="AO39" i="1"/>
  <c r="AP39" i="1"/>
  <c r="AV39" i="1"/>
  <c r="AW39" i="1"/>
  <c r="AX39" i="1"/>
  <c r="BC39" i="1"/>
  <c r="BD39" i="1"/>
  <c r="BF39" i="1"/>
  <c r="BH39" i="1"/>
  <c r="BI39" i="1"/>
  <c r="BJ39" i="1"/>
  <c r="J40" i="1"/>
  <c r="K40" i="1"/>
  <c r="L40" i="1"/>
  <c r="N40" i="1"/>
  <c r="Z40" i="1"/>
  <c r="AB40" i="1"/>
  <c r="AC40" i="1"/>
  <c r="AD40" i="1"/>
  <c r="AE40" i="1"/>
  <c r="AF40" i="1"/>
  <c r="AG40" i="1"/>
  <c r="AH40" i="1"/>
  <c r="AJ40" i="1"/>
  <c r="AK40" i="1"/>
  <c r="AL40" i="1"/>
  <c r="AO40" i="1"/>
  <c r="AP40" i="1"/>
  <c r="AV40" i="1"/>
  <c r="AW40" i="1"/>
  <c r="AX40" i="1"/>
  <c r="BC40" i="1"/>
  <c r="BD40" i="1"/>
  <c r="BF40" i="1"/>
  <c r="BH40" i="1"/>
  <c r="BI40" i="1"/>
  <c r="BJ40" i="1"/>
  <c r="J41" i="1"/>
  <c r="K41" i="1"/>
  <c r="L41" i="1"/>
  <c r="N41" i="1"/>
  <c r="Z41" i="1"/>
  <c r="AB41" i="1"/>
  <c r="AC41" i="1"/>
  <c r="AD41" i="1"/>
  <c r="AE41" i="1"/>
  <c r="AF41" i="1"/>
  <c r="AG41" i="1"/>
  <c r="AH41" i="1"/>
  <c r="AJ41" i="1"/>
  <c r="AK41" i="1"/>
  <c r="AL41" i="1"/>
  <c r="AO41" i="1"/>
  <c r="AP41" i="1"/>
  <c r="AV41" i="1"/>
  <c r="AW41" i="1"/>
  <c r="AX41" i="1"/>
  <c r="BC41" i="1"/>
  <c r="BD41" i="1"/>
  <c r="BF41" i="1"/>
  <c r="BH41" i="1"/>
  <c r="BI41" i="1"/>
  <c r="BJ41" i="1"/>
  <c r="J43" i="1"/>
  <c r="K43" i="1"/>
  <c r="L43" i="1"/>
  <c r="N43" i="1"/>
  <c r="Z43" i="1"/>
  <c r="AB43" i="1"/>
  <c r="AC43" i="1"/>
  <c r="AD43" i="1"/>
  <c r="AE43" i="1"/>
  <c r="AF43" i="1"/>
  <c r="AG43" i="1"/>
  <c r="AH43" i="1"/>
  <c r="AJ43" i="1"/>
  <c r="AK43" i="1"/>
  <c r="AL43" i="1"/>
  <c r="AO43" i="1"/>
  <c r="AP43" i="1"/>
  <c r="AV43" i="1"/>
  <c r="AW43" i="1"/>
  <c r="AX43" i="1"/>
  <c r="BC43" i="1"/>
  <c r="BD43" i="1"/>
  <c r="BF43" i="1"/>
  <c r="BH43" i="1"/>
  <c r="BI43" i="1"/>
  <c r="BJ43" i="1"/>
  <c r="J45" i="1"/>
  <c r="K45" i="1"/>
  <c r="L45" i="1"/>
  <c r="N45" i="1"/>
  <c r="Z45" i="1"/>
  <c r="AB45" i="1"/>
  <c r="AC45" i="1"/>
  <c r="AD45" i="1"/>
  <c r="AE45" i="1"/>
  <c r="AF45" i="1"/>
  <c r="AG45" i="1"/>
  <c r="AH45" i="1"/>
  <c r="AJ45" i="1"/>
  <c r="AK45" i="1"/>
  <c r="AL45" i="1"/>
  <c r="AO45" i="1"/>
  <c r="AP45" i="1"/>
  <c r="AV45" i="1"/>
  <c r="AW45" i="1"/>
  <c r="AX45" i="1"/>
  <c r="BC45" i="1"/>
  <c r="BD45" i="1"/>
  <c r="BF45" i="1"/>
  <c r="BH45" i="1"/>
  <c r="BI45" i="1"/>
  <c r="BJ45" i="1"/>
  <c r="J46" i="1"/>
  <c r="K46" i="1"/>
  <c r="L46" i="1"/>
  <c r="N46" i="1"/>
  <c r="Z46" i="1"/>
  <c r="AB46" i="1"/>
  <c r="AC46" i="1"/>
  <c r="AD46" i="1"/>
  <c r="AE46" i="1"/>
  <c r="AF46" i="1"/>
  <c r="AG46" i="1"/>
  <c r="AH46" i="1"/>
  <c r="AJ46" i="1"/>
  <c r="AK46" i="1"/>
  <c r="AL46" i="1"/>
  <c r="AO46" i="1"/>
  <c r="AP46" i="1"/>
  <c r="AV46" i="1"/>
  <c r="AW46" i="1"/>
  <c r="AX46" i="1"/>
  <c r="BC46" i="1"/>
  <c r="BD46" i="1"/>
  <c r="BF46" i="1"/>
  <c r="BH46" i="1"/>
  <c r="BI46" i="1"/>
  <c r="BJ46" i="1"/>
  <c r="J47" i="1"/>
  <c r="K47" i="1"/>
  <c r="L47" i="1"/>
  <c r="N47" i="1"/>
  <c r="Z47" i="1"/>
  <c r="AB47" i="1"/>
  <c r="AC47" i="1"/>
  <c r="AD47" i="1"/>
  <c r="AE47" i="1"/>
  <c r="AF47" i="1"/>
  <c r="AG47" i="1"/>
  <c r="AH47" i="1"/>
  <c r="AJ47" i="1"/>
  <c r="AK47" i="1"/>
  <c r="AL47" i="1"/>
  <c r="AO47" i="1"/>
  <c r="AP47" i="1"/>
  <c r="AV47" i="1"/>
  <c r="AW47" i="1"/>
  <c r="AX47" i="1"/>
  <c r="BC47" i="1"/>
  <c r="BD47" i="1"/>
  <c r="BF47" i="1"/>
  <c r="BH47" i="1"/>
  <c r="BI47" i="1"/>
  <c r="BJ47" i="1"/>
  <c r="J48" i="1"/>
  <c r="K48" i="1"/>
  <c r="L48" i="1"/>
  <c r="N48" i="1"/>
  <c r="Z48" i="1"/>
  <c r="AB48" i="1"/>
  <c r="AC48" i="1"/>
  <c r="AD48" i="1"/>
  <c r="AE48" i="1"/>
  <c r="AF48" i="1"/>
  <c r="AG48" i="1"/>
  <c r="AH48" i="1"/>
  <c r="AJ48" i="1"/>
  <c r="AK48" i="1"/>
  <c r="AL48" i="1"/>
  <c r="AO48" i="1"/>
  <c r="AP48" i="1"/>
  <c r="AV48" i="1"/>
  <c r="AW48" i="1"/>
  <c r="AX48" i="1"/>
  <c r="BC48" i="1"/>
  <c r="BD48" i="1"/>
  <c r="BF48" i="1"/>
  <c r="BH48" i="1"/>
  <c r="BI48" i="1"/>
  <c r="BJ48" i="1"/>
  <c r="J49" i="1"/>
  <c r="K49" i="1"/>
  <c r="L49" i="1"/>
  <c r="N49" i="1"/>
  <c r="Z49" i="1"/>
  <c r="AB49" i="1"/>
  <c r="AC49" i="1"/>
  <c r="AD49" i="1"/>
  <c r="AE49" i="1"/>
  <c r="AF49" i="1"/>
  <c r="AG49" i="1"/>
  <c r="AH49" i="1"/>
  <c r="AJ49" i="1"/>
  <c r="AK49" i="1"/>
  <c r="AL49" i="1"/>
  <c r="AO49" i="1"/>
  <c r="AP49" i="1"/>
  <c r="AV49" i="1"/>
  <c r="AW49" i="1"/>
  <c r="AX49" i="1"/>
  <c r="BC49" i="1"/>
  <c r="BD49" i="1"/>
  <c r="BF49" i="1"/>
  <c r="BH49" i="1"/>
  <c r="BI49" i="1"/>
  <c r="BJ49" i="1"/>
  <c r="J50" i="1"/>
  <c r="K50" i="1"/>
  <c r="L50" i="1"/>
  <c r="N50" i="1"/>
  <c r="AS50" i="1"/>
  <c r="AT50" i="1"/>
  <c r="AU50" i="1"/>
  <c r="J51" i="1"/>
  <c r="K51" i="1"/>
  <c r="L51" i="1"/>
  <c r="N51" i="1"/>
  <c r="Z51" i="1"/>
  <c r="AB51" i="1"/>
  <c r="AC51" i="1"/>
  <c r="AD51" i="1"/>
  <c r="AE51" i="1"/>
  <c r="AF51" i="1"/>
  <c r="AG51" i="1"/>
  <c r="AH51" i="1"/>
  <c r="AJ51" i="1"/>
  <c r="AK51" i="1"/>
  <c r="AL51" i="1"/>
  <c r="AO51" i="1"/>
  <c r="AP51" i="1"/>
  <c r="AV51" i="1"/>
  <c r="AW51" i="1"/>
  <c r="AX51" i="1"/>
  <c r="BC51" i="1"/>
  <c r="BD51" i="1"/>
  <c r="BF51" i="1"/>
  <c r="BH51" i="1"/>
  <c r="BI51" i="1"/>
  <c r="BJ51" i="1"/>
  <c r="J52" i="1"/>
  <c r="K52" i="1"/>
  <c r="L52" i="1"/>
  <c r="N52" i="1"/>
  <c r="Z52" i="1"/>
  <c r="AB52" i="1"/>
  <c r="AC52" i="1"/>
  <c r="AD52" i="1"/>
  <c r="AE52" i="1"/>
  <c r="AF52" i="1"/>
  <c r="AG52" i="1"/>
  <c r="AH52" i="1"/>
  <c r="AJ52" i="1"/>
  <c r="AK52" i="1"/>
  <c r="AL52" i="1"/>
  <c r="AO52" i="1"/>
  <c r="AP52" i="1"/>
  <c r="AV52" i="1"/>
  <c r="AW52" i="1"/>
  <c r="AX52" i="1"/>
  <c r="BC52" i="1"/>
  <c r="BD52" i="1"/>
  <c r="BF52" i="1"/>
  <c r="BH52" i="1"/>
  <c r="BI52" i="1"/>
  <c r="BJ52" i="1"/>
  <c r="J53" i="1"/>
  <c r="K53" i="1"/>
  <c r="L53" i="1"/>
  <c r="N53" i="1"/>
  <c r="Z53" i="1"/>
  <c r="AB53" i="1"/>
  <c r="AC53" i="1"/>
  <c r="AD53" i="1"/>
  <c r="AE53" i="1"/>
  <c r="AF53" i="1"/>
  <c r="AG53" i="1"/>
  <c r="AH53" i="1"/>
  <c r="AJ53" i="1"/>
  <c r="AK53" i="1"/>
  <c r="AL53" i="1"/>
  <c r="AO53" i="1"/>
  <c r="AP53" i="1"/>
  <c r="AV53" i="1"/>
  <c r="AW53" i="1"/>
  <c r="AX53" i="1"/>
  <c r="BC53" i="1"/>
  <c r="BD53" i="1"/>
  <c r="BF53" i="1"/>
  <c r="BH53" i="1"/>
  <c r="BI53" i="1"/>
  <c r="BJ53" i="1"/>
  <c r="J54" i="1"/>
  <c r="K54" i="1"/>
  <c r="L54" i="1"/>
  <c r="N54" i="1"/>
  <c r="Z54" i="1"/>
  <c r="AB54" i="1"/>
  <c r="AC54" i="1"/>
  <c r="AD54" i="1"/>
  <c r="AE54" i="1"/>
  <c r="AF54" i="1"/>
  <c r="AG54" i="1"/>
  <c r="AH54" i="1"/>
  <c r="AJ54" i="1"/>
  <c r="AK54" i="1"/>
  <c r="AL54" i="1"/>
  <c r="AO54" i="1"/>
  <c r="AP54" i="1"/>
  <c r="AV54" i="1"/>
  <c r="AW54" i="1"/>
  <c r="AX54" i="1"/>
  <c r="BC54" i="1"/>
  <c r="BD54" i="1"/>
  <c r="BF54" i="1"/>
  <c r="BH54" i="1"/>
  <c r="BI54" i="1"/>
  <c r="BJ54" i="1"/>
  <c r="J55" i="1"/>
  <c r="K55" i="1"/>
  <c r="L55" i="1"/>
  <c r="N55" i="1"/>
  <c r="Z55" i="1"/>
  <c r="AB55" i="1"/>
  <c r="AC55" i="1"/>
  <c r="AD55" i="1"/>
  <c r="AE55" i="1"/>
  <c r="AF55" i="1"/>
  <c r="AG55" i="1"/>
  <c r="AH55" i="1"/>
  <c r="AJ55" i="1"/>
  <c r="AK55" i="1"/>
  <c r="AL55" i="1"/>
  <c r="AO55" i="1"/>
  <c r="AP55" i="1"/>
  <c r="AV55" i="1"/>
  <c r="AW55" i="1"/>
  <c r="AX55" i="1"/>
  <c r="BC55" i="1"/>
  <c r="BD55" i="1"/>
  <c r="BF55" i="1"/>
  <c r="BH55" i="1"/>
  <c r="BI55" i="1"/>
  <c r="BJ55" i="1"/>
  <c r="J57" i="1"/>
  <c r="K57" i="1"/>
  <c r="L57" i="1"/>
  <c r="N57" i="1"/>
  <c r="Z57" i="1"/>
  <c r="AB57" i="1"/>
  <c r="AC57" i="1"/>
  <c r="AD57" i="1"/>
  <c r="AE57" i="1"/>
  <c r="AF57" i="1"/>
  <c r="AG57" i="1"/>
  <c r="AH57" i="1"/>
  <c r="AJ57" i="1"/>
  <c r="AK57" i="1"/>
  <c r="AL57" i="1"/>
  <c r="AO57" i="1"/>
  <c r="AP57" i="1"/>
  <c r="AV57" i="1"/>
  <c r="AW57" i="1"/>
  <c r="AX57" i="1"/>
  <c r="BC57" i="1"/>
  <c r="BD57" i="1"/>
  <c r="BF57" i="1"/>
  <c r="BH57" i="1"/>
  <c r="BI57" i="1"/>
  <c r="BJ57" i="1"/>
  <c r="J58" i="1"/>
  <c r="K58" i="1"/>
  <c r="L58" i="1"/>
  <c r="N58" i="1"/>
  <c r="AS58" i="1"/>
  <c r="AT58" i="1"/>
  <c r="AU58" i="1"/>
  <c r="J59" i="1"/>
  <c r="K59" i="1"/>
  <c r="L59" i="1"/>
  <c r="N59" i="1"/>
  <c r="Z59" i="1"/>
  <c r="AB59" i="1"/>
  <c r="AC59" i="1"/>
  <c r="AD59" i="1"/>
  <c r="AE59" i="1"/>
  <c r="AF59" i="1"/>
  <c r="AG59" i="1"/>
  <c r="AH59" i="1"/>
  <c r="AJ59" i="1"/>
  <c r="AK59" i="1"/>
  <c r="AL59" i="1"/>
  <c r="AO59" i="1"/>
  <c r="AP59" i="1"/>
  <c r="AV59" i="1"/>
  <c r="AW59" i="1"/>
  <c r="AX59" i="1"/>
  <c r="BC59" i="1"/>
  <c r="BD59" i="1"/>
  <c r="BF59" i="1"/>
  <c r="BH59" i="1"/>
  <c r="BI59" i="1"/>
  <c r="BJ59" i="1"/>
  <c r="J60" i="1"/>
  <c r="K60" i="1"/>
  <c r="L60" i="1"/>
  <c r="N60" i="1"/>
  <c r="Z60" i="1"/>
  <c r="AB60" i="1"/>
  <c r="AC60" i="1"/>
  <c r="AD60" i="1"/>
  <c r="AE60" i="1"/>
  <c r="AF60" i="1"/>
  <c r="AG60" i="1"/>
  <c r="AH60" i="1"/>
  <c r="AJ60" i="1"/>
  <c r="AK60" i="1"/>
  <c r="AL60" i="1"/>
  <c r="AO60" i="1"/>
  <c r="AP60" i="1"/>
  <c r="AV60" i="1"/>
  <c r="AW60" i="1"/>
  <c r="AX60" i="1"/>
  <c r="BC60" i="1"/>
  <c r="BD60" i="1"/>
  <c r="BF60" i="1"/>
  <c r="BH60" i="1"/>
  <c r="BI60" i="1"/>
  <c r="BJ60" i="1"/>
  <c r="J61" i="1"/>
  <c r="K61" i="1"/>
  <c r="L61" i="1"/>
  <c r="N61" i="1"/>
  <c r="Z61" i="1"/>
  <c r="AB61" i="1"/>
  <c r="AC61" i="1"/>
  <c r="AD61" i="1"/>
  <c r="AE61" i="1"/>
  <c r="AF61" i="1"/>
  <c r="AG61" i="1"/>
  <c r="AH61" i="1"/>
  <c r="AJ61" i="1"/>
  <c r="AK61" i="1"/>
  <c r="AL61" i="1"/>
  <c r="AO61" i="1"/>
  <c r="AP61" i="1"/>
  <c r="AV61" i="1"/>
  <c r="AW61" i="1"/>
  <c r="AX61" i="1"/>
  <c r="BC61" i="1"/>
  <c r="BD61" i="1"/>
  <c r="BF61" i="1"/>
  <c r="BH61" i="1"/>
  <c r="BI61" i="1"/>
  <c r="BJ61" i="1"/>
  <c r="J62" i="1"/>
  <c r="K62" i="1"/>
  <c r="L62" i="1"/>
  <c r="N62" i="1"/>
  <c r="Z62" i="1"/>
  <c r="AB62" i="1"/>
  <c r="AC62" i="1"/>
  <c r="AD62" i="1"/>
  <c r="AE62" i="1"/>
  <c r="AF62" i="1"/>
  <c r="AG62" i="1"/>
  <c r="AH62" i="1"/>
  <c r="AJ62" i="1"/>
  <c r="AK62" i="1"/>
  <c r="AL62" i="1"/>
  <c r="AO62" i="1"/>
  <c r="AP62" i="1"/>
  <c r="AV62" i="1"/>
  <c r="AW62" i="1"/>
  <c r="AX62" i="1"/>
  <c r="BC62" i="1"/>
  <c r="BD62" i="1"/>
  <c r="BF62" i="1"/>
  <c r="BH62" i="1"/>
  <c r="BI62" i="1"/>
  <c r="BJ62" i="1"/>
  <c r="J63" i="1"/>
  <c r="K63" i="1"/>
  <c r="L63" i="1"/>
  <c r="N63" i="1"/>
  <c r="Z63" i="1"/>
  <c r="AB63" i="1"/>
  <c r="AC63" i="1"/>
  <c r="AD63" i="1"/>
  <c r="AE63" i="1"/>
  <c r="AF63" i="1"/>
  <c r="AG63" i="1"/>
  <c r="AH63" i="1"/>
  <c r="AJ63" i="1"/>
  <c r="AK63" i="1"/>
  <c r="AL63" i="1"/>
  <c r="AO63" i="1"/>
  <c r="AP63" i="1"/>
  <c r="AV63" i="1"/>
  <c r="AW63" i="1"/>
  <c r="AX63" i="1"/>
  <c r="BC63" i="1"/>
  <c r="BD63" i="1"/>
  <c r="BF63" i="1"/>
  <c r="BH63" i="1"/>
  <c r="BI63" i="1"/>
  <c r="BJ63" i="1"/>
  <c r="J64" i="1"/>
  <c r="K64" i="1"/>
  <c r="L64" i="1"/>
  <c r="N64" i="1"/>
  <c r="Z64" i="1"/>
  <c r="AB64" i="1"/>
  <c r="AC64" i="1"/>
  <c r="AD64" i="1"/>
  <c r="AE64" i="1"/>
  <c r="AF64" i="1"/>
  <c r="AG64" i="1"/>
  <c r="AH64" i="1"/>
  <c r="AJ64" i="1"/>
  <c r="AK64" i="1"/>
  <c r="AL64" i="1"/>
  <c r="AO64" i="1"/>
  <c r="AP64" i="1"/>
  <c r="AV64" i="1"/>
  <c r="AW64" i="1"/>
  <c r="AX64" i="1"/>
  <c r="BC64" i="1"/>
  <c r="BD64" i="1"/>
  <c r="BF64" i="1"/>
  <c r="BH64" i="1"/>
  <c r="BI64" i="1"/>
  <c r="BJ64" i="1"/>
  <c r="J65" i="1"/>
  <c r="K65" i="1"/>
  <c r="L65" i="1"/>
  <c r="N65" i="1"/>
  <c r="Z65" i="1"/>
  <c r="AB65" i="1"/>
  <c r="AC65" i="1"/>
  <c r="AD65" i="1"/>
  <c r="AE65" i="1"/>
  <c r="AF65" i="1"/>
  <c r="AG65" i="1"/>
  <c r="AH65" i="1"/>
  <c r="AJ65" i="1"/>
  <c r="AK65" i="1"/>
  <c r="AL65" i="1"/>
  <c r="AO65" i="1"/>
  <c r="AP65" i="1"/>
  <c r="AV65" i="1"/>
  <c r="AW65" i="1"/>
  <c r="AX65" i="1"/>
  <c r="BC65" i="1"/>
  <c r="BD65" i="1"/>
  <c r="BF65" i="1"/>
  <c r="BH65" i="1"/>
  <c r="BI65" i="1"/>
  <c r="BJ65" i="1"/>
  <c r="J66" i="1"/>
  <c r="K66" i="1"/>
  <c r="L66" i="1"/>
  <c r="N66" i="1"/>
  <c r="Z66" i="1"/>
  <c r="AB66" i="1"/>
  <c r="AC66" i="1"/>
  <c r="AD66" i="1"/>
  <c r="AE66" i="1"/>
  <c r="AF66" i="1"/>
  <c r="AG66" i="1"/>
  <c r="AH66" i="1"/>
  <c r="AJ66" i="1"/>
  <c r="AK66" i="1"/>
  <c r="AL66" i="1"/>
  <c r="AO66" i="1"/>
  <c r="AP66" i="1"/>
  <c r="AV66" i="1"/>
  <c r="AW66" i="1"/>
  <c r="AX66" i="1"/>
  <c r="BC66" i="1"/>
  <c r="BD66" i="1"/>
  <c r="BF66" i="1"/>
  <c r="BH66" i="1"/>
  <c r="BI66" i="1"/>
  <c r="BJ66" i="1"/>
  <c r="J67" i="1"/>
  <c r="K67" i="1"/>
  <c r="L67" i="1"/>
  <c r="N67" i="1"/>
  <c r="AS67" i="1"/>
  <c r="AT67" i="1"/>
  <c r="AU67" i="1"/>
  <c r="J68" i="1"/>
  <c r="K68" i="1"/>
  <c r="L68" i="1"/>
  <c r="N68" i="1"/>
  <c r="Z68" i="1"/>
  <c r="AB68" i="1"/>
  <c r="AC68" i="1"/>
  <c r="AD68" i="1"/>
  <c r="AE68" i="1"/>
  <c r="AF68" i="1"/>
  <c r="AG68" i="1"/>
  <c r="AH68" i="1"/>
  <c r="AJ68" i="1"/>
  <c r="AK68" i="1"/>
  <c r="AL68" i="1"/>
  <c r="AO68" i="1"/>
  <c r="AP68" i="1"/>
  <c r="AV68" i="1"/>
  <c r="AW68" i="1"/>
  <c r="AX68" i="1"/>
  <c r="BC68" i="1"/>
  <c r="BD68" i="1"/>
  <c r="BF68" i="1"/>
  <c r="BH68" i="1"/>
  <c r="BI68" i="1"/>
  <c r="BJ68" i="1"/>
  <c r="J69" i="1"/>
  <c r="K69" i="1"/>
  <c r="L69" i="1"/>
  <c r="N69" i="1"/>
  <c r="Z69" i="1"/>
  <c r="AB69" i="1"/>
  <c r="AC69" i="1"/>
  <c r="AD69" i="1"/>
  <c r="AE69" i="1"/>
  <c r="AF69" i="1"/>
  <c r="AG69" i="1"/>
  <c r="AH69" i="1"/>
  <c r="AJ69" i="1"/>
  <c r="AK69" i="1"/>
  <c r="AL69" i="1"/>
  <c r="AO69" i="1"/>
  <c r="AP69" i="1"/>
  <c r="AV69" i="1"/>
  <c r="AW69" i="1"/>
  <c r="AX69" i="1"/>
  <c r="BC69" i="1"/>
  <c r="BD69" i="1"/>
  <c r="BF69" i="1"/>
  <c r="BH69" i="1"/>
  <c r="BI69" i="1"/>
  <c r="BJ69" i="1"/>
  <c r="J70" i="1"/>
  <c r="K70" i="1"/>
  <c r="L70" i="1"/>
  <c r="N70" i="1"/>
  <c r="Z70" i="1"/>
  <c r="AB70" i="1"/>
  <c r="AC70" i="1"/>
  <c r="AD70" i="1"/>
  <c r="AE70" i="1"/>
  <c r="AF70" i="1"/>
  <c r="AG70" i="1"/>
  <c r="AH70" i="1"/>
  <c r="AJ70" i="1"/>
  <c r="AK70" i="1"/>
  <c r="AL70" i="1"/>
  <c r="AO70" i="1"/>
  <c r="AP70" i="1"/>
  <c r="AV70" i="1"/>
  <c r="AW70" i="1"/>
  <c r="AX70" i="1"/>
  <c r="BC70" i="1"/>
  <c r="BD70" i="1"/>
  <c r="BF70" i="1"/>
  <c r="BH70" i="1"/>
  <c r="BI70" i="1"/>
  <c r="BJ70" i="1"/>
  <c r="J71" i="1"/>
  <c r="K71" i="1"/>
  <c r="L71" i="1"/>
  <c r="N71" i="1"/>
  <c r="Z71" i="1"/>
  <c r="AB71" i="1"/>
  <c r="AC71" i="1"/>
  <c r="AD71" i="1"/>
  <c r="AE71" i="1"/>
  <c r="AF71" i="1"/>
  <c r="AG71" i="1"/>
  <c r="AH71" i="1"/>
  <c r="AJ71" i="1"/>
  <c r="AK71" i="1"/>
  <c r="AL71" i="1"/>
  <c r="AO71" i="1"/>
  <c r="AP71" i="1"/>
  <c r="AV71" i="1"/>
  <c r="AW71" i="1"/>
  <c r="AX71" i="1"/>
  <c r="BC71" i="1"/>
  <c r="BD71" i="1"/>
  <c r="BF71" i="1"/>
  <c r="BH71" i="1"/>
  <c r="BI71" i="1"/>
  <c r="BJ71" i="1"/>
  <c r="J72" i="1"/>
  <c r="K72" i="1"/>
  <c r="L72" i="1"/>
  <c r="N72" i="1"/>
  <c r="Z72" i="1"/>
  <c r="AB72" i="1"/>
  <c r="AC72" i="1"/>
  <c r="AD72" i="1"/>
  <c r="AE72" i="1"/>
  <c r="AF72" i="1"/>
  <c r="AG72" i="1"/>
  <c r="AH72" i="1"/>
  <c r="AJ72" i="1"/>
  <c r="AK72" i="1"/>
  <c r="AL72" i="1"/>
  <c r="AO72" i="1"/>
  <c r="AP72" i="1"/>
  <c r="AV72" i="1"/>
  <c r="AW72" i="1"/>
  <c r="AX72" i="1"/>
  <c r="BC72" i="1"/>
  <c r="BD72" i="1"/>
  <c r="BF72" i="1"/>
  <c r="BH72" i="1"/>
  <c r="BI72" i="1"/>
  <c r="BJ72" i="1"/>
  <c r="J73" i="1"/>
  <c r="K73" i="1"/>
  <c r="L73" i="1"/>
  <c r="N73" i="1"/>
  <c r="Z73" i="1"/>
  <c r="AB73" i="1"/>
  <c r="AC73" i="1"/>
  <c r="AD73" i="1"/>
  <c r="AE73" i="1"/>
  <c r="AF73" i="1"/>
  <c r="AG73" i="1"/>
  <c r="AH73" i="1"/>
  <c r="AJ73" i="1"/>
  <c r="AK73" i="1"/>
  <c r="AL73" i="1"/>
  <c r="AO73" i="1"/>
  <c r="AP73" i="1"/>
  <c r="AV73" i="1"/>
  <c r="AW73" i="1"/>
  <c r="AX73" i="1"/>
  <c r="BC73" i="1"/>
  <c r="BD73" i="1"/>
  <c r="BF73" i="1"/>
  <c r="BH73" i="1"/>
  <c r="BI73" i="1"/>
  <c r="BJ73" i="1"/>
  <c r="J74" i="1"/>
  <c r="K74" i="1"/>
  <c r="L74" i="1"/>
  <c r="N74" i="1"/>
  <c r="Z74" i="1"/>
  <c r="AB74" i="1"/>
  <c r="AC74" i="1"/>
  <c r="AD74" i="1"/>
  <c r="AE74" i="1"/>
  <c r="AF74" i="1"/>
  <c r="AG74" i="1"/>
  <c r="AH74" i="1"/>
  <c r="AJ74" i="1"/>
  <c r="AK74" i="1"/>
  <c r="AL74" i="1"/>
  <c r="AO74" i="1"/>
  <c r="AP74" i="1"/>
  <c r="AV74" i="1"/>
  <c r="AW74" i="1"/>
  <c r="AX74" i="1"/>
  <c r="BC74" i="1"/>
  <c r="BD74" i="1"/>
  <c r="BF74" i="1"/>
  <c r="BH74" i="1"/>
  <c r="BI74" i="1"/>
  <c r="BJ74" i="1"/>
  <c r="J75" i="1"/>
  <c r="K75" i="1"/>
  <c r="L75" i="1"/>
  <c r="N75" i="1"/>
  <c r="Z75" i="1"/>
  <c r="AB75" i="1"/>
  <c r="AC75" i="1"/>
  <c r="AD75" i="1"/>
  <c r="AE75" i="1"/>
  <c r="AF75" i="1"/>
  <c r="AG75" i="1"/>
  <c r="AH75" i="1"/>
  <c r="AJ75" i="1"/>
  <c r="AK75" i="1"/>
  <c r="AL75" i="1"/>
  <c r="AO75" i="1"/>
  <c r="AP75" i="1"/>
  <c r="AV75" i="1"/>
  <c r="AW75" i="1"/>
  <c r="AX75" i="1"/>
  <c r="BC75" i="1"/>
  <c r="BD75" i="1"/>
  <c r="BF75" i="1"/>
  <c r="BH75" i="1"/>
  <c r="BI75" i="1"/>
  <c r="BJ75" i="1"/>
  <c r="J76" i="1"/>
  <c r="K76" i="1"/>
  <c r="L76" i="1"/>
  <c r="N76" i="1"/>
  <c r="Z76" i="1"/>
  <c r="AB76" i="1"/>
  <c r="AC76" i="1"/>
  <c r="AD76" i="1"/>
  <c r="AE76" i="1"/>
  <c r="AF76" i="1"/>
  <c r="AG76" i="1"/>
  <c r="AH76" i="1"/>
  <c r="AJ76" i="1"/>
  <c r="AK76" i="1"/>
  <c r="AL76" i="1"/>
  <c r="AO76" i="1"/>
  <c r="AP76" i="1"/>
  <c r="AV76" i="1"/>
  <c r="AW76" i="1"/>
  <c r="AX76" i="1"/>
  <c r="BC76" i="1"/>
  <c r="BD76" i="1"/>
  <c r="BF76" i="1"/>
  <c r="BH76" i="1"/>
  <c r="BI76" i="1"/>
  <c r="BJ76" i="1"/>
  <c r="J77" i="1"/>
  <c r="K77" i="1"/>
  <c r="L77" i="1"/>
  <c r="N77" i="1"/>
  <c r="Z77" i="1"/>
  <c r="AB77" i="1"/>
  <c r="AC77" i="1"/>
  <c r="AD77" i="1"/>
  <c r="AE77" i="1"/>
  <c r="AF77" i="1"/>
  <c r="AG77" i="1"/>
  <c r="AH77" i="1"/>
  <c r="AJ77" i="1"/>
  <c r="AK77" i="1"/>
  <c r="AL77" i="1"/>
  <c r="AO77" i="1"/>
  <c r="AP77" i="1"/>
  <c r="AV77" i="1"/>
  <c r="AW77" i="1"/>
  <c r="AX77" i="1"/>
  <c r="BC77" i="1"/>
  <c r="BD77" i="1"/>
  <c r="BF77" i="1"/>
  <c r="BH77" i="1"/>
  <c r="BI77" i="1"/>
  <c r="BJ77" i="1"/>
  <c r="J78" i="1"/>
  <c r="K78" i="1"/>
  <c r="L78" i="1"/>
  <c r="N78" i="1"/>
  <c r="Z78" i="1"/>
  <c r="AB78" i="1"/>
  <c r="AC78" i="1"/>
  <c r="AD78" i="1"/>
  <c r="AE78" i="1"/>
  <c r="AF78" i="1"/>
  <c r="AG78" i="1"/>
  <c r="AH78" i="1"/>
  <c r="AJ78" i="1"/>
  <c r="AK78" i="1"/>
  <c r="AL78" i="1"/>
  <c r="AO78" i="1"/>
  <c r="AP78" i="1"/>
  <c r="AV78" i="1"/>
  <c r="AW78" i="1"/>
  <c r="AX78" i="1"/>
  <c r="BC78" i="1"/>
  <c r="BD78" i="1"/>
  <c r="BF78" i="1"/>
  <c r="BH78" i="1"/>
  <c r="BI78" i="1"/>
  <c r="BJ78" i="1"/>
  <c r="J79" i="1"/>
  <c r="K79" i="1"/>
  <c r="L79" i="1"/>
  <c r="N79" i="1"/>
  <c r="Z79" i="1"/>
  <c r="AB79" i="1"/>
  <c r="AC79" i="1"/>
  <c r="AD79" i="1"/>
  <c r="AE79" i="1"/>
  <c r="AF79" i="1"/>
  <c r="AG79" i="1"/>
  <c r="AH79" i="1"/>
  <c r="AJ79" i="1"/>
  <c r="AK79" i="1"/>
  <c r="AL79" i="1"/>
  <c r="AO79" i="1"/>
  <c r="AP79" i="1"/>
  <c r="AV79" i="1"/>
  <c r="AW79" i="1"/>
  <c r="AX79" i="1"/>
  <c r="BC79" i="1"/>
  <c r="BD79" i="1"/>
  <c r="BF79" i="1"/>
  <c r="BH79" i="1"/>
  <c r="BI79" i="1"/>
  <c r="BJ79" i="1"/>
  <c r="J80" i="1"/>
  <c r="K80" i="1"/>
  <c r="L80" i="1"/>
  <c r="N80" i="1"/>
  <c r="Z80" i="1"/>
  <c r="AB80" i="1"/>
  <c r="AC80" i="1"/>
  <c r="AD80" i="1"/>
  <c r="AE80" i="1"/>
  <c r="AF80" i="1"/>
  <c r="AG80" i="1"/>
  <c r="AH80" i="1"/>
  <c r="AJ80" i="1"/>
  <c r="AK80" i="1"/>
  <c r="AL80" i="1"/>
  <c r="AO80" i="1"/>
  <c r="AP80" i="1"/>
  <c r="AV80" i="1"/>
  <c r="AW80" i="1"/>
  <c r="AX80" i="1"/>
  <c r="BC80" i="1"/>
  <c r="BD80" i="1"/>
  <c r="BF80" i="1"/>
  <c r="BH80" i="1"/>
  <c r="BI80" i="1"/>
  <c r="BJ80" i="1"/>
  <c r="J81" i="1"/>
  <c r="K81" i="1"/>
  <c r="L81" i="1"/>
  <c r="N81" i="1"/>
  <c r="Z81" i="1"/>
  <c r="AB81" i="1"/>
  <c r="AC81" i="1"/>
  <c r="AD81" i="1"/>
  <c r="AE81" i="1"/>
  <c r="AF81" i="1"/>
  <c r="AG81" i="1"/>
  <c r="AH81" i="1"/>
  <c r="AJ81" i="1"/>
  <c r="AK81" i="1"/>
  <c r="AL81" i="1"/>
  <c r="AO81" i="1"/>
  <c r="AP81" i="1"/>
  <c r="AV81" i="1"/>
  <c r="AW81" i="1"/>
  <c r="AX81" i="1"/>
  <c r="BC81" i="1"/>
  <c r="BD81" i="1"/>
  <c r="BF81" i="1"/>
  <c r="BH81" i="1"/>
  <c r="BI81" i="1"/>
  <c r="BJ81" i="1"/>
  <c r="J82" i="1"/>
  <c r="K82" i="1"/>
  <c r="L82" i="1"/>
  <c r="N82" i="1"/>
  <c r="Z82" i="1"/>
  <c r="AB82" i="1"/>
  <c r="AC82" i="1"/>
  <c r="AD82" i="1"/>
  <c r="AE82" i="1"/>
  <c r="AF82" i="1"/>
  <c r="AG82" i="1"/>
  <c r="AH82" i="1"/>
  <c r="AJ82" i="1"/>
  <c r="AK82" i="1"/>
  <c r="AL82" i="1"/>
  <c r="AO82" i="1"/>
  <c r="AP82" i="1"/>
  <c r="AV82" i="1"/>
  <c r="AW82" i="1"/>
  <c r="AX82" i="1"/>
  <c r="BC82" i="1"/>
  <c r="BD82" i="1"/>
  <c r="BF82" i="1"/>
  <c r="BH82" i="1"/>
  <c r="BI82" i="1"/>
  <c r="BJ82" i="1"/>
  <c r="J83" i="1"/>
  <c r="K83" i="1"/>
  <c r="L83" i="1"/>
  <c r="N83" i="1"/>
  <c r="Z83" i="1"/>
  <c r="AB83" i="1"/>
  <c r="AC83" i="1"/>
  <c r="AD83" i="1"/>
  <c r="AE83" i="1"/>
  <c r="AF83" i="1"/>
  <c r="AG83" i="1"/>
  <c r="AH83" i="1"/>
  <c r="AJ83" i="1"/>
  <c r="AK83" i="1"/>
  <c r="AL83" i="1"/>
  <c r="AO83" i="1"/>
  <c r="AP83" i="1"/>
  <c r="AV83" i="1"/>
  <c r="AW83" i="1"/>
  <c r="AX83" i="1"/>
  <c r="BC83" i="1"/>
  <c r="BD83" i="1"/>
  <c r="BF83" i="1"/>
  <c r="BH83" i="1"/>
  <c r="BI83" i="1"/>
  <c r="BJ83" i="1"/>
  <c r="J84" i="1"/>
  <c r="K84" i="1"/>
  <c r="L84" i="1"/>
  <c r="N84" i="1"/>
  <c r="Z84" i="1"/>
  <c r="AB84" i="1"/>
  <c r="AC84" i="1"/>
  <c r="AD84" i="1"/>
  <c r="AE84" i="1"/>
  <c r="AF84" i="1"/>
  <c r="AG84" i="1"/>
  <c r="AH84" i="1"/>
  <c r="AJ84" i="1"/>
  <c r="AK84" i="1"/>
  <c r="AL84" i="1"/>
  <c r="AO84" i="1"/>
  <c r="AP84" i="1"/>
  <c r="AV84" i="1"/>
  <c r="AW84" i="1"/>
  <c r="AX84" i="1"/>
  <c r="BC84" i="1"/>
  <c r="BD84" i="1"/>
  <c r="BF84" i="1"/>
  <c r="BH84" i="1"/>
  <c r="BI84" i="1"/>
  <c r="BJ84" i="1"/>
  <c r="J85" i="1"/>
  <c r="K85" i="1"/>
  <c r="L85" i="1"/>
  <c r="N85" i="1"/>
  <c r="Z85" i="1"/>
  <c r="AB85" i="1"/>
  <c r="AC85" i="1"/>
  <c r="AD85" i="1"/>
  <c r="AE85" i="1"/>
  <c r="AF85" i="1"/>
  <c r="AG85" i="1"/>
  <c r="AH85" i="1"/>
  <c r="AJ85" i="1"/>
  <c r="AK85" i="1"/>
  <c r="AL85" i="1"/>
  <c r="AO85" i="1"/>
  <c r="AP85" i="1"/>
  <c r="AV85" i="1"/>
  <c r="AW85" i="1"/>
  <c r="AX85" i="1"/>
  <c r="BC85" i="1"/>
  <c r="BD85" i="1"/>
  <c r="BF85" i="1"/>
  <c r="BH85" i="1"/>
  <c r="BI85" i="1"/>
  <c r="BJ85" i="1"/>
  <c r="J86" i="1"/>
  <c r="K86" i="1"/>
  <c r="L86" i="1"/>
  <c r="N86" i="1"/>
  <c r="Z86" i="1"/>
  <c r="AB86" i="1"/>
  <c r="AC86" i="1"/>
  <c r="AD86" i="1"/>
  <c r="AE86" i="1"/>
  <c r="AF86" i="1"/>
  <c r="AG86" i="1"/>
  <c r="AH86" i="1"/>
  <c r="AJ86" i="1"/>
  <c r="AK86" i="1"/>
  <c r="AL86" i="1"/>
  <c r="AO86" i="1"/>
  <c r="AP86" i="1"/>
  <c r="AV86" i="1"/>
  <c r="AW86" i="1"/>
  <c r="AX86" i="1"/>
  <c r="BC86" i="1"/>
  <c r="BD86" i="1"/>
  <c r="BF86" i="1"/>
  <c r="BH86" i="1"/>
  <c r="BI86" i="1"/>
  <c r="BJ86" i="1"/>
  <c r="J87" i="1"/>
  <c r="K87" i="1"/>
  <c r="L87" i="1"/>
  <c r="N87" i="1"/>
  <c r="Z87" i="1"/>
  <c r="AB87" i="1"/>
  <c r="AC87" i="1"/>
  <c r="AD87" i="1"/>
  <c r="AE87" i="1"/>
  <c r="AF87" i="1"/>
  <c r="AG87" i="1"/>
  <c r="AH87" i="1"/>
  <c r="AJ87" i="1"/>
  <c r="AK87" i="1"/>
  <c r="AL87" i="1"/>
  <c r="AO87" i="1"/>
  <c r="AP87" i="1"/>
  <c r="AV87" i="1"/>
  <c r="AW87" i="1"/>
  <c r="AX87" i="1"/>
  <c r="BC87" i="1"/>
  <c r="BD87" i="1"/>
  <c r="BF87" i="1"/>
  <c r="BH87" i="1"/>
  <c r="BI87" i="1"/>
  <c r="BJ87" i="1"/>
  <c r="J88" i="1"/>
  <c r="K88" i="1"/>
  <c r="L88" i="1"/>
  <c r="N88" i="1"/>
  <c r="Z88" i="1"/>
  <c r="AB88" i="1"/>
  <c r="AC88" i="1"/>
  <c r="AD88" i="1"/>
  <c r="AE88" i="1"/>
  <c r="AF88" i="1"/>
  <c r="AG88" i="1"/>
  <c r="AH88" i="1"/>
  <c r="AJ88" i="1"/>
  <c r="AK88" i="1"/>
  <c r="AL88" i="1"/>
  <c r="AO88" i="1"/>
  <c r="AP88" i="1"/>
  <c r="AV88" i="1"/>
  <c r="AW88" i="1"/>
  <c r="AX88" i="1"/>
  <c r="BC88" i="1"/>
  <c r="BD88" i="1"/>
  <c r="BF88" i="1"/>
  <c r="BH88" i="1"/>
  <c r="BI88" i="1"/>
  <c r="BJ88" i="1"/>
  <c r="J89" i="1"/>
  <c r="K89" i="1"/>
  <c r="L89" i="1"/>
  <c r="N89" i="1"/>
  <c r="Z89" i="1"/>
  <c r="AB89" i="1"/>
  <c r="AC89" i="1"/>
  <c r="AD89" i="1"/>
  <c r="AE89" i="1"/>
  <c r="AF89" i="1"/>
  <c r="AG89" i="1"/>
  <c r="AH89" i="1"/>
  <c r="AJ89" i="1"/>
  <c r="AK89" i="1"/>
  <c r="AL89" i="1"/>
  <c r="AO89" i="1"/>
  <c r="AP89" i="1"/>
  <c r="AV89" i="1"/>
  <c r="AW89" i="1"/>
  <c r="AX89" i="1"/>
  <c r="BC89" i="1"/>
  <c r="BD89" i="1"/>
  <c r="BF89" i="1"/>
  <c r="BH89" i="1"/>
  <c r="BI89" i="1"/>
  <c r="BJ89" i="1"/>
  <c r="J90" i="1"/>
  <c r="K90" i="1"/>
  <c r="L90" i="1"/>
  <c r="N90" i="1"/>
  <c r="Z90" i="1"/>
  <c r="AB90" i="1"/>
  <c r="AC90" i="1"/>
  <c r="AD90" i="1"/>
  <c r="AE90" i="1"/>
  <c r="AF90" i="1"/>
  <c r="AG90" i="1"/>
  <c r="AH90" i="1"/>
  <c r="AJ90" i="1"/>
  <c r="AK90" i="1"/>
  <c r="AL90" i="1"/>
  <c r="AO90" i="1"/>
  <c r="AP90" i="1"/>
  <c r="AV90" i="1"/>
  <c r="AW90" i="1"/>
  <c r="AX90" i="1"/>
  <c r="BC90" i="1"/>
  <c r="BD90" i="1"/>
  <c r="BF90" i="1"/>
  <c r="BH90" i="1"/>
  <c r="BI90" i="1"/>
  <c r="BJ90" i="1"/>
  <c r="J91" i="1"/>
  <c r="K91" i="1"/>
  <c r="L91" i="1"/>
  <c r="N91" i="1"/>
  <c r="Z91" i="1"/>
  <c r="AB91" i="1"/>
  <c r="AC91" i="1"/>
  <c r="AD91" i="1"/>
  <c r="AE91" i="1"/>
  <c r="AF91" i="1"/>
  <c r="AG91" i="1"/>
  <c r="AH91" i="1"/>
  <c r="AJ91" i="1"/>
  <c r="AK91" i="1"/>
  <c r="AL91" i="1"/>
  <c r="AO91" i="1"/>
  <c r="AP91" i="1"/>
  <c r="AV91" i="1"/>
  <c r="AW91" i="1"/>
  <c r="AX91" i="1"/>
  <c r="BC91" i="1"/>
  <c r="BD91" i="1"/>
  <c r="BF91" i="1"/>
  <c r="BH91" i="1"/>
  <c r="BI91" i="1"/>
  <c r="BJ91" i="1"/>
  <c r="J92" i="1"/>
  <c r="K92" i="1"/>
  <c r="L92" i="1"/>
  <c r="N92" i="1"/>
  <c r="Z92" i="1"/>
  <c r="AB92" i="1"/>
  <c r="AC92" i="1"/>
  <c r="AD92" i="1"/>
  <c r="AE92" i="1"/>
  <c r="AF92" i="1"/>
  <c r="AG92" i="1"/>
  <c r="AH92" i="1"/>
  <c r="AJ92" i="1"/>
  <c r="AK92" i="1"/>
  <c r="AL92" i="1"/>
  <c r="AO92" i="1"/>
  <c r="AP92" i="1"/>
  <c r="AV92" i="1"/>
  <c r="AW92" i="1"/>
  <c r="AX92" i="1"/>
  <c r="BC92" i="1"/>
  <c r="BD92" i="1"/>
  <c r="BF92" i="1"/>
  <c r="BH92" i="1"/>
  <c r="BI92" i="1"/>
  <c r="BJ92" i="1"/>
  <c r="J93" i="1"/>
  <c r="K93" i="1"/>
  <c r="L93" i="1"/>
  <c r="N93" i="1"/>
  <c r="Z93" i="1"/>
  <c r="AB93" i="1"/>
  <c r="AC93" i="1"/>
  <c r="AD93" i="1"/>
  <c r="AE93" i="1"/>
  <c r="AF93" i="1"/>
  <c r="AG93" i="1"/>
  <c r="AH93" i="1"/>
  <c r="AJ93" i="1"/>
  <c r="AK93" i="1"/>
  <c r="AL93" i="1"/>
  <c r="AO93" i="1"/>
  <c r="AP93" i="1"/>
  <c r="AV93" i="1"/>
  <c r="AW93" i="1"/>
  <c r="AX93" i="1"/>
  <c r="BC93" i="1"/>
  <c r="BD93" i="1"/>
  <c r="BF93" i="1"/>
  <c r="BH93" i="1"/>
  <c r="BI93" i="1"/>
  <c r="BJ93" i="1"/>
  <c r="J94" i="1"/>
  <c r="K94" i="1"/>
  <c r="L94" i="1"/>
  <c r="N94" i="1"/>
  <c r="Z94" i="1"/>
  <c r="AB94" i="1"/>
  <c r="AC94" i="1"/>
  <c r="AD94" i="1"/>
  <c r="AE94" i="1"/>
  <c r="AF94" i="1"/>
  <c r="AG94" i="1"/>
  <c r="AH94" i="1"/>
  <c r="AJ94" i="1"/>
  <c r="AK94" i="1"/>
  <c r="AL94" i="1"/>
  <c r="AO94" i="1"/>
  <c r="AP94" i="1"/>
  <c r="AV94" i="1"/>
  <c r="AW94" i="1"/>
  <c r="AX94" i="1"/>
  <c r="BC94" i="1"/>
  <c r="BD94" i="1"/>
  <c r="BF94" i="1"/>
  <c r="BH94" i="1"/>
  <c r="BI94" i="1"/>
  <c r="BJ94" i="1"/>
  <c r="J95" i="1"/>
  <c r="K95" i="1"/>
  <c r="L95" i="1"/>
  <c r="N95" i="1"/>
  <c r="Z95" i="1"/>
  <c r="AB95" i="1"/>
  <c r="AC95" i="1"/>
  <c r="AD95" i="1"/>
  <c r="AE95" i="1"/>
  <c r="AF95" i="1"/>
  <c r="AG95" i="1"/>
  <c r="AH95" i="1"/>
  <c r="AJ95" i="1"/>
  <c r="AK95" i="1"/>
  <c r="AL95" i="1"/>
  <c r="AO95" i="1"/>
  <c r="AP95" i="1"/>
  <c r="AV95" i="1"/>
  <c r="AW95" i="1"/>
  <c r="AX95" i="1"/>
  <c r="BC95" i="1"/>
  <c r="BD95" i="1"/>
  <c r="BF95" i="1"/>
  <c r="BH95" i="1"/>
  <c r="BI95" i="1"/>
  <c r="BJ95" i="1"/>
  <c r="J96" i="1"/>
  <c r="K96" i="1"/>
  <c r="L96" i="1"/>
  <c r="N96" i="1"/>
  <c r="Z96" i="1"/>
  <c r="AB96" i="1"/>
  <c r="AC96" i="1"/>
  <c r="AD96" i="1"/>
  <c r="AE96" i="1"/>
  <c r="AF96" i="1"/>
  <c r="AG96" i="1"/>
  <c r="AH96" i="1"/>
  <c r="AJ96" i="1"/>
  <c r="AK96" i="1"/>
  <c r="AL96" i="1"/>
  <c r="AO96" i="1"/>
  <c r="AP96" i="1"/>
  <c r="AV96" i="1"/>
  <c r="AW96" i="1"/>
  <c r="AX96" i="1"/>
  <c r="BC96" i="1"/>
  <c r="BD96" i="1"/>
  <c r="BF96" i="1"/>
  <c r="BH96" i="1"/>
  <c r="BI96" i="1"/>
  <c r="BJ96" i="1"/>
  <c r="J97" i="1"/>
  <c r="K97" i="1"/>
  <c r="L97" i="1"/>
  <c r="N97" i="1"/>
  <c r="Z97" i="1"/>
  <c r="AB97" i="1"/>
  <c r="AC97" i="1"/>
  <c r="AD97" i="1"/>
  <c r="AE97" i="1"/>
  <c r="AF97" i="1"/>
  <c r="AG97" i="1"/>
  <c r="AH97" i="1"/>
  <c r="AJ97" i="1"/>
  <c r="AK97" i="1"/>
  <c r="AL97" i="1"/>
  <c r="AO97" i="1"/>
  <c r="AP97" i="1"/>
  <c r="AV97" i="1"/>
  <c r="AW97" i="1"/>
  <c r="AX97" i="1"/>
  <c r="BC97" i="1"/>
  <c r="BD97" i="1"/>
  <c r="BF97" i="1"/>
  <c r="BH97" i="1"/>
  <c r="BI97" i="1"/>
  <c r="BJ97" i="1"/>
  <c r="J98" i="1"/>
  <c r="K98" i="1"/>
  <c r="L98" i="1"/>
  <c r="N98" i="1"/>
  <c r="Z98" i="1"/>
  <c r="AB98" i="1"/>
  <c r="AC98" i="1"/>
  <c r="AD98" i="1"/>
  <c r="AE98" i="1"/>
  <c r="AF98" i="1"/>
  <c r="AG98" i="1"/>
  <c r="AH98" i="1"/>
  <c r="AJ98" i="1"/>
  <c r="AK98" i="1"/>
  <c r="AL98" i="1"/>
  <c r="AO98" i="1"/>
  <c r="AP98" i="1"/>
  <c r="AV98" i="1"/>
  <c r="AW98" i="1"/>
  <c r="AX98" i="1"/>
  <c r="BC98" i="1"/>
  <c r="BD98" i="1"/>
  <c r="BF98" i="1"/>
  <c r="BH98" i="1"/>
  <c r="BI98" i="1"/>
  <c r="BJ98" i="1"/>
  <c r="J99" i="1"/>
  <c r="K99" i="1"/>
  <c r="L99" i="1"/>
  <c r="N99" i="1"/>
  <c r="Z99" i="1"/>
  <c r="AB99" i="1"/>
  <c r="AC99" i="1"/>
  <c r="AD99" i="1"/>
  <c r="AE99" i="1"/>
  <c r="AF99" i="1"/>
  <c r="AG99" i="1"/>
  <c r="AH99" i="1"/>
  <c r="AJ99" i="1"/>
  <c r="AK99" i="1"/>
  <c r="AL99" i="1"/>
  <c r="AO99" i="1"/>
  <c r="AP99" i="1"/>
  <c r="AV99" i="1"/>
  <c r="AW99" i="1"/>
  <c r="AX99" i="1"/>
  <c r="BC99" i="1"/>
  <c r="BD99" i="1"/>
  <c r="BF99" i="1"/>
  <c r="BH99" i="1"/>
  <c r="BI99" i="1"/>
  <c r="BJ99" i="1"/>
  <c r="J100" i="1"/>
  <c r="K100" i="1"/>
  <c r="L100" i="1"/>
  <c r="N100" i="1"/>
  <c r="Z100" i="1"/>
  <c r="AB100" i="1"/>
  <c r="AC100" i="1"/>
  <c r="AD100" i="1"/>
  <c r="AE100" i="1"/>
  <c r="AF100" i="1"/>
  <c r="AG100" i="1"/>
  <c r="AH100" i="1"/>
  <c r="AJ100" i="1"/>
  <c r="AK100" i="1"/>
  <c r="AL100" i="1"/>
  <c r="AO100" i="1"/>
  <c r="AP100" i="1"/>
  <c r="AV100" i="1"/>
  <c r="AW100" i="1"/>
  <c r="AX100" i="1"/>
  <c r="BC100" i="1"/>
  <c r="BD100" i="1"/>
  <c r="BF100" i="1"/>
  <c r="BH100" i="1"/>
  <c r="BI100" i="1"/>
  <c r="BJ100" i="1"/>
  <c r="J101" i="1"/>
  <c r="K101" i="1"/>
  <c r="L101" i="1"/>
  <c r="N101" i="1"/>
  <c r="Z101" i="1"/>
  <c r="AB101" i="1"/>
  <c r="AC101" i="1"/>
  <c r="AD101" i="1"/>
  <c r="AE101" i="1"/>
  <c r="AF101" i="1"/>
  <c r="AG101" i="1"/>
  <c r="AH101" i="1"/>
  <c r="AJ101" i="1"/>
  <c r="AK101" i="1"/>
  <c r="AL101" i="1"/>
  <c r="AO101" i="1"/>
  <c r="AP101" i="1"/>
  <c r="AV101" i="1"/>
  <c r="AW101" i="1"/>
  <c r="AX101" i="1"/>
  <c r="BC101" i="1"/>
  <c r="BD101" i="1"/>
  <c r="BF101" i="1"/>
  <c r="BH101" i="1"/>
  <c r="BI101" i="1"/>
  <c r="BJ101" i="1"/>
  <c r="J102" i="1"/>
  <c r="K102" i="1"/>
  <c r="L102" i="1"/>
  <c r="N102" i="1"/>
  <c r="Z102" i="1"/>
  <c r="AB102" i="1"/>
  <c r="AC102" i="1"/>
  <c r="AD102" i="1"/>
  <c r="AE102" i="1"/>
  <c r="AF102" i="1"/>
  <c r="AG102" i="1"/>
  <c r="AH102" i="1"/>
  <c r="AJ102" i="1"/>
  <c r="AK102" i="1"/>
  <c r="AL102" i="1"/>
  <c r="AO102" i="1"/>
  <c r="AP102" i="1"/>
  <c r="AV102" i="1"/>
  <c r="AW102" i="1"/>
  <c r="AX102" i="1"/>
  <c r="BC102" i="1"/>
  <c r="BD102" i="1"/>
  <c r="BF102" i="1"/>
  <c r="BH102" i="1"/>
  <c r="BI102" i="1"/>
  <c r="BJ102" i="1"/>
  <c r="J103" i="1"/>
  <c r="K103" i="1"/>
  <c r="L103" i="1"/>
  <c r="N103" i="1"/>
  <c r="Z103" i="1"/>
  <c r="AB103" i="1"/>
  <c r="AC103" i="1"/>
  <c r="AD103" i="1"/>
  <c r="AE103" i="1"/>
  <c r="AF103" i="1"/>
  <c r="AG103" i="1"/>
  <c r="AH103" i="1"/>
  <c r="AJ103" i="1"/>
  <c r="AK103" i="1"/>
  <c r="AL103" i="1"/>
  <c r="AO103" i="1"/>
  <c r="AP103" i="1"/>
  <c r="AV103" i="1"/>
  <c r="AW103" i="1"/>
  <c r="AX103" i="1"/>
  <c r="BC103" i="1"/>
  <c r="BD103" i="1"/>
  <c r="BF103" i="1"/>
  <c r="BH103" i="1"/>
  <c r="BI103" i="1"/>
  <c r="BJ103" i="1"/>
  <c r="J104" i="1"/>
  <c r="K104" i="1"/>
  <c r="L104" i="1"/>
  <c r="N104" i="1"/>
  <c r="Z104" i="1"/>
  <c r="AB104" i="1"/>
  <c r="AC104" i="1"/>
  <c r="AD104" i="1"/>
  <c r="AE104" i="1"/>
  <c r="AF104" i="1"/>
  <c r="AG104" i="1"/>
  <c r="AH104" i="1"/>
  <c r="AJ104" i="1"/>
  <c r="AK104" i="1"/>
  <c r="AL104" i="1"/>
  <c r="AO104" i="1"/>
  <c r="AP104" i="1"/>
  <c r="AV104" i="1"/>
  <c r="AW104" i="1"/>
  <c r="AX104" i="1"/>
  <c r="BC104" i="1"/>
  <c r="BD104" i="1"/>
  <c r="BF104" i="1"/>
  <c r="BH104" i="1"/>
  <c r="BI104" i="1"/>
  <c r="BJ104" i="1"/>
  <c r="J105" i="1"/>
  <c r="K105" i="1"/>
  <c r="L105" i="1"/>
  <c r="N105" i="1"/>
  <c r="Z105" i="1"/>
  <c r="AB105" i="1"/>
  <c r="AC105" i="1"/>
  <c r="AD105" i="1"/>
  <c r="AE105" i="1"/>
  <c r="AF105" i="1"/>
  <c r="AG105" i="1"/>
  <c r="AH105" i="1"/>
  <c r="AJ105" i="1"/>
  <c r="AK105" i="1"/>
  <c r="AL105" i="1"/>
  <c r="AO105" i="1"/>
  <c r="AP105" i="1"/>
  <c r="AV105" i="1"/>
  <c r="AW105" i="1"/>
  <c r="AX105" i="1"/>
  <c r="BC105" i="1"/>
  <c r="BD105" i="1"/>
  <c r="BF105" i="1"/>
  <c r="BH105" i="1"/>
  <c r="BI105" i="1"/>
  <c r="BJ105" i="1"/>
  <c r="J106" i="1"/>
  <c r="K106" i="1"/>
  <c r="L106" i="1"/>
  <c r="N106" i="1"/>
  <c r="Z106" i="1"/>
  <c r="AB106" i="1"/>
  <c r="AC106" i="1"/>
  <c r="AD106" i="1"/>
  <c r="AE106" i="1"/>
  <c r="AF106" i="1"/>
  <c r="AG106" i="1"/>
  <c r="AH106" i="1"/>
  <c r="AJ106" i="1"/>
  <c r="AK106" i="1"/>
  <c r="AL106" i="1"/>
  <c r="AO106" i="1"/>
  <c r="AP106" i="1"/>
  <c r="AV106" i="1"/>
  <c r="AW106" i="1"/>
  <c r="AX106" i="1"/>
  <c r="BC106" i="1"/>
  <c r="BD106" i="1"/>
  <c r="BF106" i="1"/>
  <c r="BH106" i="1"/>
  <c r="BI106" i="1"/>
  <c r="BJ106" i="1"/>
  <c r="J107" i="1"/>
  <c r="K107" i="1"/>
  <c r="L107" i="1"/>
  <c r="N107" i="1"/>
  <c r="Z107" i="1"/>
  <c r="AB107" i="1"/>
  <c r="AC107" i="1"/>
  <c r="AD107" i="1"/>
  <c r="AE107" i="1"/>
  <c r="AF107" i="1"/>
  <c r="AG107" i="1"/>
  <c r="AH107" i="1"/>
  <c r="AJ107" i="1"/>
  <c r="AK107" i="1"/>
  <c r="AL107" i="1"/>
  <c r="AO107" i="1"/>
  <c r="AP107" i="1"/>
  <c r="AV107" i="1"/>
  <c r="AW107" i="1"/>
  <c r="AX107" i="1"/>
  <c r="BC107" i="1"/>
  <c r="BD107" i="1"/>
  <c r="BF107" i="1"/>
  <c r="BH107" i="1"/>
  <c r="BI107" i="1"/>
  <c r="BJ107" i="1"/>
  <c r="J108" i="1"/>
  <c r="K108" i="1"/>
  <c r="L108" i="1"/>
  <c r="N108" i="1"/>
  <c r="AS108" i="1"/>
  <c r="AT108" i="1"/>
  <c r="AU108" i="1"/>
  <c r="J109" i="1"/>
  <c r="K109" i="1"/>
  <c r="L109" i="1"/>
  <c r="N109" i="1"/>
  <c r="Z109" i="1"/>
  <c r="AB109" i="1"/>
  <c r="AC109" i="1"/>
  <c r="AD109" i="1"/>
  <c r="AE109" i="1"/>
  <c r="AF109" i="1"/>
  <c r="AG109" i="1"/>
  <c r="AH109" i="1"/>
  <c r="AJ109" i="1"/>
  <c r="AK109" i="1"/>
  <c r="AL109" i="1"/>
  <c r="AO109" i="1"/>
  <c r="AP109" i="1"/>
  <c r="AV109" i="1"/>
  <c r="AW109" i="1"/>
  <c r="AX109" i="1"/>
  <c r="BC109" i="1"/>
  <c r="BD109" i="1"/>
  <c r="BF109" i="1"/>
  <c r="BH109" i="1"/>
  <c r="BI109" i="1"/>
  <c r="BJ109" i="1"/>
  <c r="J110" i="1"/>
  <c r="K110" i="1"/>
  <c r="L110" i="1"/>
  <c r="N110" i="1"/>
  <c r="Z110" i="1"/>
  <c r="AB110" i="1"/>
  <c r="AC110" i="1"/>
  <c r="AD110" i="1"/>
  <c r="AE110" i="1"/>
  <c r="AF110" i="1"/>
  <c r="AG110" i="1"/>
  <c r="AH110" i="1"/>
  <c r="AJ110" i="1"/>
  <c r="AK110" i="1"/>
  <c r="AL110" i="1"/>
  <c r="AO110" i="1"/>
  <c r="AP110" i="1"/>
  <c r="AV110" i="1"/>
  <c r="AW110" i="1"/>
  <c r="AX110" i="1"/>
  <c r="BC110" i="1"/>
  <c r="BD110" i="1"/>
  <c r="BF110" i="1"/>
  <c r="BH110" i="1"/>
  <c r="BI110" i="1"/>
  <c r="BJ110" i="1"/>
  <c r="J111" i="1"/>
  <c r="K111" i="1"/>
  <c r="L111" i="1"/>
  <c r="N111" i="1"/>
  <c r="Z111" i="1"/>
  <c r="AB111" i="1"/>
  <c r="AC111" i="1"/>
  <c r="AD111" i="1"/>
  <c r="AE111" i="1"/>
  <c r="AF111" i="1"/>
  <c r="AG111" i="1"/>
  <c r="AH111" i="1"/>
  <c r="AJ111" i="1"/>
  <c r="AK111" i="1"/>
  <c r="AL111" i="1"/>
  <c r="AO111" i="1"/>
  <c r="AP111" i="1"/>
  <c r="AV111" i="1"/>
  <c r="AW111" i="1"/>
  <c r="AX111" i="1"/>
  <c r="BC111" i="1"/>
  <c r="BD111" i="1"/>
  <c r="BF111" i="1"/>
  <c r="BH111" i="1"/>
  <c r="BI111" i="1"/>
  <c r="BJ111" i="1"/>
  <c r="J112" i="1"/>
  <c r="K112" i="1"/>
  <c r="L112" i="1"/>
  <c r="N112" i="1"/>
  <c r="AS112" i="1"/>
  <c r="AT112" i="1"/>
  <c r="AU112" i="1"/>
  <c r="J113" i="1"/>
  <c r="K113" i="1"/>
  <c r="L113" i="1"/>
  <c r="N113" i="1"/>
  <c r="Z113" i="1"/>
  <c r="AB113" i="1"/>
  <c r="AC113" i="1"/>
  <c r="AD113" i="1"/>
  <c r="AE113" i="1"/>
  <c r="AF113" i="1"/>
  <c r="AG113" i="1"/>
  <c r="AH113" i="1"/>
  <c r="AJ113" i="1"/>
  <c r="AK113" i="1"/>
  <c r="AL113" i="1"/>
  <c r="AO113" i="1"/>
  <c r="AP113" i="1"/>
  <c r="AV113" i="1"/>
  <c r="AW113" i="1"/>
  <c r="AX113" i="1"/>
  <c r="BC113" i="1"/>
  <c r="BD113" i="1"/>
  <c r="BF113" i="1"/>
  <c r="BH113" i="1"/>
  <c r="BI113" i="1"/>
  <c r="BJ113" i="1"/>
  <c r="J114" i="1"/>
  <c r="K114" i="1"/>
  <c r="L114" i="1"/>
  <c r="N114" i="1"/>
  <c r="AS114" i="1"/>
  <c r="AT114" i="1"/>
  <c r="AU114" i="1"/>
  <c r="J115" i="1"/>
  <c r="K115" i="1"/>
  <c r="L115" i="1"/>
  <c r="N115" i="1"/>
  <c r="Z115" i="1"/>
  <c r="AB115" i="1"/>
  <c r="AC115" i="1"/>
  <c r="AD115" i="1"/>
  <c r="AE115" i="1"/>
  <c r="AF115" i="1"/>
  <c r="AG115" i="1"/>
  <c r="AH115" i="1"/>
  <c r="AJ115" i="1"/>
  <c r="AK115" i="1"/>
  <c r="AL115" i="1"/>
  <c r="AO115" i="1"/>
  <c r="AP115" i="1"/>
  <c r="AV115" i="1"/>
  <c r="AW115" i="1"/>
  <c r="AX115" i="1"/>
  <c r="BC115" i="1"/>
  <c r="BD115" i="1"/>
  <c r="BF115" i="1"/>
  <c r="BH115" i="1"/>
  <c r="BI115" i="1"/>
  <c r="BJ115" i="1"/>
  <c r="J116" i="1"/>
  <c r="K116" i="1"/>
  <c r="L116" i="1"/>
  <c r="N116" i="1"/>
  <c r="Z116" i="1"/>
  <c r="AB116" i="1"/>
  <c r="AC116" i="1"/>
  <c r="AD116" i="1"/>
  <c r="AE116" i="1"/>
  <c r="AF116" i="1"/>
  <c r="AG116" i="1"/>
  <c r="AH116" i="1"/>
  <c r="AJ116" i="1"/>
  <c r="AK116" i="1"/>
  <c r="AL116" i="1"/>
  <c r="AO116" i="1"/>
  <c r="AP116" i="1"/>
  <c r="AV116" i="1"/>
  <c r="AW116" i="1"/>
  <c r="AX116" i="1"/>
  <c r="BC116" i="1"/>
  <c r="BD116" i="1"/>
  <c r="BF116" i="1"/>
  <c r="BH116" i="1"/>
  <c r="BI116" i="1"/>
  <c r="BJ116" i="1"/>
  <c r="J118" i="1"/>
  <c r="K118" i="1"/>
  <c r="L118" i="1"/>
  <c r="N118" i="1"/>
  <c r="Z118" i="1"/>
  <c r="AB118" i="1"/>
  <c r="AC118" i="1"/>
  <c r="AD118" i="1"/>
  <c r="AE118" i="1"/>
  <c r="AF118" i="1"/>
  <c r="AG118" i="1"/>
  <c r="AH118" i="1"/>
  <c r="AJ118" i="1"/>
  <c r="AK118" i="1"/>
  <c r="AL118" i="1"/>
  <c r="AO118" i="1"/>
  <c r="AP118" i="1"/>
  <c r="AV118" i="1"/>
  <c r="AW118" i="1"/>
  <c r="AX118" i="1"/>
  <c r="BC118" i="1"/>
  <c r="BD118" i="1"/>
  <c r="BF118" i="1"/>
  <c r="BH118" i="1"/>
  <c r="BI118" i="1"/>
  <c r="BJ118" i="1"/>
  <c r="J119" i="1"/>
  <c r="K119" i="1"/>
  <c r="L119" i="1"/>
  <c r="N119" i="1"/>
  <c r="AS119" i="1"/>
  <c r="AT119" i="1"/>
  <c r="AU119" i="1"/>
  <c r="J120" i="1"/>
  <c r="K120" i="1"/>
  <c r="L120" i="1"/>
  <c r="N120" i="1"/>
  <c r="Z120" i="1"/>
  <c r="AB120" i="1"/>
  <c r="AC120" i="1"/>
  <c r="AD120" i="1"/>
  <c r="AE120" i="1"/>
  <c r="AF120" i="1"/>
  <c r="AG120" i="1"/>
  <c r="AH120" i="1"/>
  <c r="AJ120" i="1"/>
  <c r="AK120" i="1"/>
  <c r="AL120" i="1"/>
  <c r="AO120" i="1"/>
  <c r="AP120" i="1"/>
  <c r="AV120" i="1"/>
  <c r="AW120" i="1"/>
  <c r="AX120" i="1"/>
  <c r="BC120" i="1"/>
  <c r="BD120" i="1"/>
  <c r="BF120" i="1"/>
  <c r="BH120" i="1"/>
  <c r="BI120" i="1"/>
  <c r="BJ120" i="1"/>
  <c r="J121" i="1"/>
  <c r="K121" i="1"/>
  <c r="L121" i="1"/>
  <c r="N121" i="1"/>
  <c r="Z121" i="1"/>
  <c r="AB121" i="1"/>
  <c r="AC121" i="1"/>
  <c r="AD121" i="1"/>
  <c r="AE121" i="1"/>
  <c r="AF121" i="1"/>
  <c r="AG121" i="1"/>
  <c r="AH121" i="1"/>
  <c r="AJ121" i="1"/>
  <c r="AK121" i="1"/>
  <c r="AL121" i="1"/>
  <c r="AO121" i="1"/>
  <c r="AP121" i="1"/>
  <c r="AV121" i="1"/>
  <c r="AW121" i="1"/>
  <c r="AX121" i="1"/>
  <c r="BC121" i="1"/>
  <c r="BD121" i="1"/>
  <c r="BF121" i="1"/>
  <c r="BH121" i="1"/>
  <c r="BI121" i="1"/>
  <c r="BJ121" i="1"/>
  <c r="J122" i="1"/>
  <c r="K122" i="1"/>
  <c r="L122" i="1"/>
  <c r="N122" i="1"/>
  <c r="AS122" i="1"/>
  <c r="AT122" i="1"/>
  <c r="AU122" i="1"/>
  <c r="J123" i="1"/>
  <c r="K123" i="1"/>
  <c r="L123" i="1"/>
  <c r="N123" i="1"/>
  <c r="Z123" i="1"/>
  <c r="AB123" i="1"/>
  <c r="AC123" i="1"/>
  <c r="AD123" i="1"/>
  <c r="AE123" i="1"/>
  <c r="AF123" i="1"/>
  <c r="AG123" i="1"/>
  <c r="AH123" i="1"/>
  <c r="AJ123" i="1"/>
  <c r="AK123" i="1"/>
  <c r="AL123" i="1"/>
  <c r="AO123" i="1"/>
  <c r="AP123" i="1"/>
  <c r="AV123" i="1"/>
  <c r="AW123" i="1"/>
  <c r="AX123" i="1"/>
  <c r="BC123" i="1"/>
  <c r="BD123" i="1"/>
  <c r="BF123" i="1"/>
  <c r="BH123" i="1"/>
  <c r="BI123" i="1"/>
  <c r="BJ123" i="1"/>
  <c r="J125" i="1"/>
  <c r="K125" i="1"/>
  <c r="L125" i="1"/>
  <c r="N125" i="1"/>
  <c r="AS125" i="1"/>
  <c r="AT125" i="1"/>
  <c r="AU125" i="1"/>
  <c r="J126" i="1"/>
  <c r="K126" i="1"/>
  <c r="L126" i="1"/>
  <c r="N126" i="1"/>
  <c r="Z126" i="1"/>
  <c r="AB126" i="1"/>
  <c r="AC126" i="1"/>
  <c r="AD126" i="1"/>
  <c r="AE126" i="1"/>
  <c r="AF126" i="1"/>
  <c r="AG126" i="1"/>
  <c r="AH126" i="1"/>
  <c r="AJ126" i="1"/>
  <c r="AK126" i="1"/>
  <c r="AL126" i="1"/>
  <c r="AO126" i="1"/>
  <c r="AP126" i="1"/>
  <c r="AV126" i="1"/>
  <c r="AW126" i="1"/>
  <c r="AX126" i="1"/>
  <c r="BC126" i="1"/>
  <c r="BD126" i="1"/>
  <c r="BF126" i="1"/>
  <c r="BH126" i="1"/>
  <c r="BI126" i="1"/>
  <c r="BJ126" i="1"/>
  <c r="J127" i="1"/>
  <c r="K127" i="1"/>
  <c r="L127" i="1"/>
  <c r="N127" i="1"/>
  <c r="Z127" i="1"/>
  <c r="AB127" i="1"/>
  <c r="AC127" i="1"/>
  <c r="AD127" i="1"/>
  <c r="AE127" i="1"/>
  <c r="AF127" i="1"/>
  <c r="AG127" i="1"/>
  <c r="AH127" i="1"/>
  <c r="AJ127" i="1"/>
  <c r="AK127" i="1"/>
  <c r="AL127" i="1"/>
  <c r="AO127" i="1"/>
  <c r="AP127" i="1"/>
  <c r="AV127" i="1"/>
  <c r="AW127" i="1"/>
  <c r="AX127" i="1"/>
  <c r="BC127" i="1"/>
  <c r="BD127" i="1"/>
  <c r="BF127" i="1"/>
  <c r="BH127" i="1"/>
  <c r="BI127" i="1"/>
  <c r="BJ127" i="1"/>
  <c r="J128" i="1"/>
  <c r="K128" i="1"/>
  <c r="L128" i="1"/>
  <c r="N128" i="1"/>
  <c r="AS128" i="1"/>
  <c r="AT128" i="1"/>
  <c r="AU128" i="1"/>
  <c r="J129" i="1"/>
  <c r="K129" i="1"/>
  <c r="L129" i="1"/>
  <c r="N129" i="1"/>
  <c r="Z129" i="1"/>
  <c r="AB129" i="1"/>
  <c r="AC129" i="1"/>
  <c r="AD129" i="1"/>
  <c r="AE129" i="1"/>
  <c r="AF129" i="1"/>
  <c r="AG129" i="1"/>
  <c r="AH129" i="1"/>
  <c r="AJ129" i="1"/>
  <c r="AK129" i="1"/>
  <c r="AL129" i="1"/>
  <c r="AO129" i="1"/>
  <c r="AP129" i="1"/>
  <c r="AV129" i="1"/>
  <c r="AW129" i="1"/>
  <c r="AX129" i="1"/>
  <c r="BC129" i="1"/>
  <c r="BD129" i="1"/>
  <c r="BF129" i="1"/>
  <c r="BH129" i="1"/>
  <c r="BI129" i="1"/>
  <c r="BJ129" i="1"/>
  <c r="J130" i="1"/>
  <c r="K130" i="1"/>
  <c r="L130" i="1"/>
  <c r="N130" i="1"/>
  <c r="AS130" i="1"/>
  <c r="AT130" i="1"/>
  <c r="AU130" i="1"/>
  <c r="J131" i="1"/>
  <c r="K131" i="1"/>
  <c r="L131" i="1"/>
  <c r="N131" i="1"/>
  <c r="Z131" i="1"/>
  <c r="AB131" i="1"/>
  <c r="AC131" i="1"/>
  <c r="AD131" i="1"/>
  <c r="AE131" i="1"/>
  <c r="AF131" i="1"/>
  <c r="AG131" i="1"/>
  <c r="AH131" i="1"/>
  <c r="AJ131" i="1"/>
  <c r="AK131" i="1"/>
  <c r="AL131" i="1"/>
  <c r="AO131" i="1"/>
  <c r="AP131" i="1"/>
  <c r="AV131" i="1"/>
  <c r="AW131" i="1"/>
  <c r="AX131" i="1"/>
  <c r="BC131" i="1"/>
  <c r="BD131" i="1"/>
  <c r="BF131" i="1"/>
  <c r="BH131" i="1"/>
  <c r="BI131" i="1"/>
  <c r="BJ131" i="1"/>
  <c r="J132" i="1"/>
  <c r="K132" i="1"/>
  <c r="L132" i="1"/>
  <c r="N132" i="1"/>
  <c r="Z132" i="1"/>
  <c r="AB132" i="1"/>
  <c r="AC132" i="1"/>
  <c r="AD132" i="1"/>
  <c r="AE132" i="1"/>
  <c r="AF132" i="1"/>
  <c r="AG132" i="1"/>
  <c r="AH132" i="1"/>
  <c r="AJ132" i="1"/>
  <c r="AK132" i="1"/>
  <c r="AL132" i="1"/>
  <c r="AO132" i="1"/>
  <c r="AP132" i="1"/>
  <c r="AV132" i="1"/>
  <c r="AW132" i="1"/>
  <c r="AX132" i="1"/>
  <c r="BC132" i="1"/>
  <c r="BD132" i="1"/>
  <c r="BF132" i="1"/>
  <c r="BH132" i="1"/>
  <c r="BI132" i="1"/>
  <c r="BJ132" i="1"/>
  <c r="J133" i="1"/>
  <c r="K133" i="1"/>
  <c r="L133" i="1"/>
  <c r="N133" i="1"/>
  <c r="AS133" i="1"/>
  <c r="AT133" i="1"/>
  <c r="AU133" i="1"/>
  <c r="J134" i="1"/>
  <c r="K134" i="1"/>
  <c r="L134" i="1"/>
  <c r="N134" i="1"/>
  <c r="Z134" i="1"/>
  <c r="AB134" i="1"/>
  <c r="AC134" i="1"/>
  <c r="AD134" i="1"/>
  <c r="AE134" i="1"/>
  <c r="AF134" i="1"/>
  <c r="AG134" i="1"/>
  <c r="AH134" i="1"/>
  <c r="AJ134" i="1"/>
  <c r="AK134" i="1"/>
  <c r="AL134" i="1"/>
  <c r="AO134" i="1"/>
  <c r="AP134" i="1"/>
  <c r="AV134" i="1"/>
  <c r="AW134" i="1"/>
  <c r="AX134" i="1"/>
  <c r="BC134" i="1"/>
  <c r="BD134" i="1"/>
  <c r="BF134" i="1"/>
  <c r="BH134" i="1"/>
  <c r="BI134" i="1"/>
  <c r="BJ134" i="1"/>
  <c r="J135" i="1"/>
  <c r="K135" i="1"/>
  <c r="L135" i="1"/>
  <c r="N135" i="1"/>
  <c r="Z135" i="1"/>
  <c r="AB135" i="1"/>
  <c r="AC135" i="1"/>
  <c r="AD135" i="1"/>
  <c r="AE135" i="1"/>
  <c r="AF135" i="1"/>
  <c r="AG135" i="1"/>
  <c r="AH135" i="1"/>
  <c r="AJ135" i="1"/>
  <c r="AK135" i="1"/>
  <c r="AL135" i="1"/>
  <c r="AO135" i="1"/>
  <c r="AP135" i="1"/>
  <c r="AV135" i="1"/>
  <c r="AW135" i="1"/>
  <c r="AX135" i="1"/>
  <c r="BC135" i="1"/>
  <c r="BD135" i="1"/>
  <c r="BF135" i="1"/>
  <c r="BH135" i="1"/>
  <c r="BI135" i="1"/>
  <c r="BJ135" i="1"/>
  <c r="J136" i="1"/>
  <c r="K136" i="1"/>
  <c r="L136" i="1"/>
  <c r="N136" i="1"/>
  <c r="AS136" i="1"/>
  <c r="AT136" i="1"/>
  <c r="AU136" i="1"/>
  <c r="J137" i="1"/>
  <c r="K137" i="1"/>
  <c r="L137" i="1"/>
  <c r="N137" i="1"/>
  <c r="Z137" i="1"/>
  <c r="AB137" i="1"/>
  <c r="AC137" i="1"/>
  <c r="AD137" i="1"/>
  <c r="AE137" i="1"/>
  <c r="AF137" i="1"/>
  <c r="AG137" i="1"/>
  <c r="AH137" i="1"/>
  <c r="AJ137" i="1"/>
  <c r="AK137" i="1"/>
  <c r="AL137" i="1"/>
  <c r="AO137" i="1"/>
  <c r="AP137" i="1"/>
  <c r="AV137" i="1"/>
  <c r="AW137" i="1"/>
  <c r="AX137" i="1"/>
  <c r="BC137" i="1"/>
  <c r="BD137" i="1"/>
  <c r="BF137" i="1"/>
  <c r="BH137" i="1"/>
  <c r="BI137" i="1"/>
  <c r="BJ137" i="1"/>
  <c r="J138" i="1"/>
  <c r="K138" i="1"/>
  <c r="L138" i="1"/>
  <c r="N138" i="1"/>
  <c r="Z138" i="1"/>
  <c r="AB138" i="1"/>
  <c r="AC138" i="1"/>
  <c r="AD138" i="1"/>
  <c r="AE138" i="1"/>
  <c r="AF138" i="1"/>
  <c r="AG138" i="1"/>
  <c r="AH138" i="1"/>
  <c r="AJ138" i="1"/>
  <c r="AK138" i="1"/>
  <c r="AL138" i="1"/>
  <c r="AO138" i="1"/>
  <c r="AP138" i="1"/>
  <c r="AV138" i="1"/>
  <c r="AW138" i="1"/>
  <c r="AX138" i="1"/>
  <c r="BC138" i="1"/>
  <c r="BD138" i="1"/>
  <c r="BF138" i="1"/>
  <c r="BH138" i="1"/>
  <c r="BI138" i="1"/>
  <c r="BJ138" i="1"/>
  <c r="J139" i="1"/>
  <c r="K139" i="1"/>
  <c r="L139" i="1"/>
  <c r="N139" i="1"/>
  <c r="AS139" i="1"/>
  <c r="AT139" i="1"/>
  <c r="AU139" i="1"/>
  <c r="J140" i="1"/>
  <c r="K140" i="1"/>
  <c r="L140" i="1"/>
  <c r="N140" i="1"/>
  <c r="Z140" i="1"/>
  <c r="AB140" i="1"/>
  <c r="AC140" i="1"/>
  <c r="AD140" i="1"/>
  <c r="AE140" i="1"/>
  <c r="AF140" i="1"/>
  <c r="AG140" i="1"/>
  <c r="AH140" i="1"/>
  <c r="AJ140" i="1"/>
  <c r="AK140" i="1"/>
  <c r="AL140" i="1"/>
  <c r="AO140" i="1"/>
  <c r="AP140" i="1"/>
  <c r="AV140" i="1"/>
  <c r="AW140" i="1"/>
  <c r="AX140" i="1"/>
  <c r="BC140" i="1"/>
  <c r="BD140" i="1"/>
  <c r="BF140" i="1"/>
  <c r="BH140" i="1"/>
  <c r="BI140" i="1"/>
  <c r="BJ140" i="1"/>
  <c r="J141" i="1"/>
  <c r="K141" i="1"/>
  <c r="L141" i="1"/>
  <c r="N141" i="1"/>
  <c r="Z141" i="1"/>
  <c r="AB141" i="1"/>
  <c r="AC141" i="1"/>
  <c r="AD141" i="1"/>
  <c r="AE141" i="1"/>
  <c r="AF141" i="1"/>
  <c r="AG141" i="1"/>
  <c r="AH141" i="1"/>
  <c r="AJ141" i="1"/>
  <c r="AK141" i="1"/>
  <c r="AL141" i="1"/>
  <c r="AO141" i="1"/>
  <c r="AP141" i="1"/>
  <c r="AV141" i="1"/>
  <c r="AW141" i="1"/>
  <c r="AX141" i="1"/>
  <c r="BC141" i="1"/>
  <c r="BD141" i="1"/>
  <c r="BF141" i="1"/>
  <c r="BH141" i="1"/>
  <c r="BI141" i="1"/>
  <c r="BJ141" i="1"/>
  <c r="J142" i="1"/>
  <c r="K142" i="1"/>
  <c r="L142" i="1"/>
  <c r="N142" i="1"/>
  <c r="AS142" i="1"/>
  <c r="AT142" i="1"/>
  <c r="AU142" i="1"/>
  <c r="J143" i="1"/>
  <c r="K143" i="1"/>
  <c r="L143" i="1"/>
  <c r="N143" i="1"/>
  <c r="Z143" i="1"/>
  <c r="AB143" i="1"/>
  <c r="AC143" i="1"/>
  <c r="AD143" i="1"/>
  <c r="AE143" i="1"/>
  <c r="AF143" i="1"/>
  <c r="AG143" i="1"/>
  <c r="AH143" i="1"/>
  <c r="AJ143" i="1"/>
  <c r="AK143" i="1"/>
  <c r="AL143" i="1"/>
  <c r="AO143" i="1"/>
  <c r="AP143" i="1"/>
  <c r="AV143" i="1"/>
  <c r="AW143" i="1"/>
  <c r="AX143" i="1"/>
  <c r="BC143" i="1"/>
  <c r="BD143" i="1"/>
  <c r="BF143" i="1"/>
  <c r="BH143" i="1"/>
  <c r="BI143" i="1"/>
  <c r="BJ143" i="1"/>
  <c r="J144" i="1"/>
  <c r="K144" i="1"/>
  <c r="L144" i="1"/>
  <c r="N144" i="1"/>
  <c r="Z144" i="1"/>
  <c r="AB144" i="1"/>
  <c r="AC144" i="1"/>
  <c r="AD144" i="1"/>
  <c r="AE144" i="1"/>
  <c r="AF144" i="1"/>
  <c r="AG144" i="1"/>
  <c r="AH144" i="1"/>
  <c r="AJ144" i="1"/>
  <c r="AK144" i="1"/>
  <c r="AL144" i="1"/>
  <c r="AO144" i="1"/>
  <c r="AP144" i="1"/>
  <c r="AV144" i="1"/>
  <c r="AW144" i="1"/>
  <c r="AX144" i="1"/>
  <c r="BC144" i="1"/>
  <c r="BD144" i="1"/>
  <c r="BF144" i="1"/>
  <c r="BH144" i="1"/>
  <c r="BI144" i="1"/>
  <c r="BJ144" i="1"/>
  <c r="J145" i="1"/>
  <c r="K145" i="1"/>
  <c r="L145" i="1"/>
  <c r="N145" i="1"/>
  <c r="AS145" i="1"/>
  <c r="AT145" i="1"/>
  <c r="AU145" i="1"/>
  <c r="J146" i="1"/>
  <c r="K146" i="1"/>
  <c r="L146" i="1"/>
  <c r="N146" i="1"/>
  <c r="Z146" i="1"/>
  <c r="AB146" i="1"/>
  <c r="AC146" i="1"/>
  <c r="AD146" i="1"/>
  <c r="AE146" i="1"/>
  <c r="AF146" i="1"/>
  <c r="AG146" i="1"/>
  <c r="AH146" i="1"/>
  <c r="AJ146" i="1"/>
  <c r="AK146" i="1"/>
  <c r="AL146" i="1"/>
  <c r="AO146" i="1"/>
  <c r="AP146" i="1"/>
  <c r="AV146" i="1"/>
  <c r="AW146" i="1"/>
  <c r="AX146" i="1"/>
  <c r="BC146" i="1"/>
  <c r="BD146" i="1"/>
  <c r="BF146" i="1"/>
  <c r="BH146" i="1"/>
  <c r="BI146" i="1"/>
  <c r="BJ146" i="1"/>
  <c r="J147" i="1"/>
  <c r="K147" i="1"/>
  <c r="L147" i="1"/>
  <c r="N147" i="1"/>
  <c r="Z147" i="1"/>
  <c r="AB147" i="1"/>
  <c r="AC147" i="1"/>
  <c r="AD147" i="1"/>
  <c r="AE147" i="1"/>
  <c r="AF147" i="1"/>
  <c r="AG147" i="1"/>
  <c r="AH147" i="1"/>
  <c r="AJ147" i="1"/>
  <c r="AK147" i="1"/>
  <c r="AL147" i="1"/>
  <c r="AO147" i="1"/>
  <c r="AP147" i="1"/>
  <c r="AV147" i="1"/>
  <c r="AW147" i="1"/>
  <c r="AX147" i="1"/>
  <c r="BC147" i="1"/>
  <c r="BD147" i="1"/>
  <c r="BF147" i="1"/>
  <c r="BH147" i="1"/>
  <c r="BI147" i="1"/>
  <c r="BJ147" i="1"/>
  <c r="J148" i="1"/>
  <c r="K148" i="1"/>
  <c r="L148" i="1"/>
  <c r="N148" i="1"/>
  <c r="AS148" i="1"/>
  <c r="AT148" i="1"/>
  <c r="AU148" i="1"/>
  <c r="J149" i="1"/>
  <c r="K149" i="1"/>
  <c r="L149" i="1"/>
  <c r="N149" i="1"/>
  <c r="Z149" i="1"/>
  <c r="AB149" i="1"/>
  <c r="AC149" i="1"/>
  <c r="AD149" i="1"/>
  <c r="AE149" i="1"/>
  <c r="AF149" i="1"/>
  <c r="AG149" i="1"/>
  <c r="AH149" i="1"/>
  <c r="AJ149" i="1"/>
  <c r="AK149" i="1"/>
  <c r="AL149" i="1"/>
  <c r="AO149" i="1"/>
  <c r="AP149" i="1"/>
  <c r="AV149" i="1"/>
  <c r="AW149" i="1"/>
  <c r="AX149" i="1"/>
  <c r="BC149" i="1"/>
  <c r="BD149" i="1"/>
  <c r="BF149" i="1"/>
  <c r="BH149" i="1"/>
  <c r="BI149" i="1"/>
  <c r="BJ149" i="1"/>
  <c r="J150" i="1"/>
  <c r="K150" i="1"/>
  <c r="L150" i="1"/>
  <c r="N150" i="1"/>
  <c r="Z150" i="1"/>
  <c r="AB150" i="1"/>
  <c r="AC150" i="1"/>
  <c r="AD150" i="1"/>
  <c r="AE150" i="1"/>
  <c r="AF150" i="1"/>
  <c r="AG150" i="1"/>
  <c r="AH150" i="1"/>
  <c r="AJ150" i="1"/>
  <c r="AK150" i="1"/>
  <c r="AL150" i="1"/>
  <c r="AO150" i="1"/>
  <c r="AP150" i="1"/>
  <c r="AV150" i="1"/>
  <c r="AW150" i="1"/>
  <c r="AX150" i="1"/>
  <c r="BC150" i="1"/>
  <c r="BD150" i="1"/>
  <c r="BF150" i="1"/>
  <c r="BH150" i="1"/>
  <c r="BI150" i="1"/>
  <c r="BJ150" i="1"/>
  <c r="J151" i="1"/>
  <c r="K151" i="1"/>
  <c r="L151" i="1"/>
  <c r="N151" i="1"/>
  <c r="Z151" i="1"/>
  <c r="AB151" i="1"/>
  <c r="AC151" i="1"/>
  <c r="AD151" i="1"/>
  <c r="AE151" i="1"/>
  <c r="AF151" i="1"/>
  <c r="AG151" i="1"/>
  <c r="AH151" i="1"/>
  <c r="AJ151" i="1"/>
  <c r="AK151" i="1"/>
  <c r="AL151" i="1"/>
  <c r="AO151" i="1"/>
  <c r="AP151" i="1"/>
  <c r="AV151" i="1"/>
  <c r="AW151" i="1"/>
  <c r="AX151" i="1"/>
  <c r="BC151" i="1"/>
  <c r="BD151" i="1"/>
  <c r="BF151" i="1"/>
  <c r="BH151" i="1"/>
  <c r="BI151" i="1"/>
  <c r="BJ151" i="1"/>
  <c r="J152" i="1"/>
  <c r="K152" i="1"/>
  <c r="L152" i="1"/>
  <c r="N152" i="1"/>
  <c r="AS152" i="1"/>
  <c r="AT152" i="1"/>
  <c r="AU152" i="1"/>
  <c r="J153" i="1"/>
  <c r="K153" i="1"/>
  <c r="L153" i="1"/>
  <c r="N153" i="1"/>
  <c r="Z153" i="1"/>
  <c r="AB153" i="1"/>
  <c r="AC153" i="1"/>
  <c r="AD153" i="1"/>
  <c r="AE153" i="1"/>
  <c r="AF153" i="1"/>
  <c r="AG153" i="1"/>
  <c r="AH153" i="1"/>
  <c r="AJ153" i="1"/>
  <c r="AK153" i="1"/>
  <c r="AL153" i="1"/>
  <c r="AO153" i="1"/>
  <c r="AP153" i="1"/>
  <c r="AV153" i="1"/>
  <c r="AW153" i="1"/>
  <c r="AX153" i="1"/>
  <c r="BC153" i="1"/>
  <c r="BD153" i="1"/>
  <c r="BF153" i="1"/>
  <c r="BH153" i="1"/>
  <c r="BI153" i="1"/>
  <c r="BJ153" i="1"/>
  <c r="J154" i="1"/>
  <c r="K154" i="1"/>
  <c r="L154" i="1"/>
  <c r="N154" i="1"/>
  <c r="Z154" i="1"/>
  <c r="AB154" i="1"/>
  <c r="AC154" i="1"/>
  <c r="AD154" i="1"/>
  <c r="AE154" i="1"/>
  <c r="AF154" i="1"/>
  <c r="AG154" i="1"/>
  <c r="AH154" i="1"/>
  <c r="AJ154" i="1"/>
  <c r="AK154" i="1"/>
  <c r="AL154" i="1"/>
  <c r="AO154" i="1"/>
  <c r="AP154" i="1"/>
  <c r="AV154" i="1"/>
  <c r="AW154" i="1"/>
  <c r="AX154" i="1"/>
  <c r="BC154" i="1"/>
  <c r="BD154" i="1"/>
  <c r="BF154" i="1"/>
  <c r="BH154" i="1"/>
  <c r="BI154" i="1"/>
  <c r="BJ154" i="1"/>
  <c r="J155" i="1"/>
  <c r="K155" i="1"/>
  <c r="L155" i="1"/>
  <c r="N155" i="1"/>
  <c r="Z155" i="1"/>
  <c r="AB155" i="1"/>
  <c r="AC155" i="1"/>
  <c r="AD155" i="1"/>
  <c r="AE155" i="1"/>
  <c r="AF155" i="1"/>
  <c r="AG155" i="1"/>
  <c r="AH155" i="1"/>
  <c r="AJ155" i="1"/>
  <c r="AK155" i="1"/>
  <c r="AL155" i="1"/>
  <c r="AO155" i="1"/>
  <c r="AP155" i="1"/>
  <c r="AV155" i="1"/>
  <c r="AW155" i="1"/>
  <c r="AX155" i="1"/>
  <c r="BC155" i="1"/>
  <c r="BD155" i="1"/>
  <c r="BF155" i="1"/>
  <c r="BH155" i="1"/>
  <c r="BI155" i="1"/>
  <c r="BJ155" i="1"/>
  <c r="J156" i="1"/>
  <c r="K156" i="1"/>
  <c r="L156" i="1"/>
  <c r="N156" i="1"/>
  <c r="Z156" i="1"/>
  <c r="AB156" i="1"/>
  <c r="AC156" i="1"/>
  <c r="AD156" i="1"/>
  <c r="AE156" i="1"/>
  <c r="AF156" i="1"/>
  <c r="AG156" i="1"/>
  <c r="AH156" i="1"/>
  <c r="AJ156" i="1"/>
  <c r="AK156" i="1"/>
  <c r="AL156" i="1"/>
  <c r="AO156" i="1"/>
  <c r="AP156" i="1"/>
  <c r="AV156" i="1"/>
  <c r="AW156" i="1"/>
  <c r="AX156" i="1"/>
  <c r="BC156" i="1"/>
  <c r="BD156" i="1"/>
  <c r="BF156" i="1"/>
  <c r="BH156" i="1"/>
  <c r="BI156" i="1"/>
  <c r="BJ156" i="1"/>
  <c r="J157" i="1"/>
  <c r="K157" i="1"/>
  <c r="L157" i="1"/>
  <c r="N157" i="1"/>
  <c r="AS157" i="1"/>
  <c r="AT157" i="1"/>
  <c r="AU157" i="1"/>
  <c r="J158" i="1"/>
  <c r="K158" i="1"/>
  <c r="L158" i="1"/>
  <c r="N158" i="1"/>
  <c r="Z158" i="1"/>
  <c r="AB158" i="1"/>
  <c r="AC158" i="1"/>
  <c r="AD158" i="1"/>
  <c r="AE158" i="1"/>
  <c r="AF158" i="1"/>
  <c r="AG158" i="1"/>
  <c r="AH158" i="1"/>
  <c r="AJ158" i="1"/>
  <c r="AK158" i="1"/>
  <c r="AL158" i="1"/>
  <c r="AO158" i="1"/>
  <c r="AP158" i="1"/>
  <c r="AV158" i="1"/>
  <c r="AW158" i="1"/>
  <c r="AX158" i="1"/>
  <c r="BC158" i="1"/>
  <c r="BD158" i="1"/>
  <c r="BF158" i="1"/>
  <c r="BH158" i="1"/>
  <c r="BI158" i="1"/>
  <c r="BJ158" i="1"/>
  <c r="J159" i="1"/>
  <c r="K159" i="1"/>
  <c r="L159" i="1"/>
  <c r="N159" i="1"/>
  <c r="Z159" i="1"/>
  <c r="AB159" i="1"/>
  <c r="AC159" i="1"/>
  <c r="AD159" i="1"/>
  <c r="AE159" i="1"/>
  <c r="AF159" i="1"/>
  <c r="AG159" i="1"/>
  <c r="AH159" i="1"/>
  <c r="AJ159" i="1"/>
  <c r="AK159" i="1"/>
  <c r="AL159" i="1"/>
  <c r="AO159" i="1"/>
  <c r="AP159" i="1"/>
  <c r="AV159" i="1"/>
  <c r="AW159" i="1"/>
  <c r="AX159" i="1"/>
  <c r="BC159" i="1"/>
  <c r="BD159" i="1"/>
  <c r="BF159" i="1"/>
  <c r="BH159" i="1"/>
  <c r="BI159" i="1"/>
  <c r="BJ159" i="1"/>
  <c r="J160" i="1"/>
  <c r="K160" i="1"/>
  <c r="L160" i="1"/>
  <c r="N160" i="1"/>
  <c r="Z160" i="1"/>
  <c r="AB160" i="1"/>
  <c r="AC160" i="1"/>
  <c r="AD160" i="1"/>
  <c r="AE160" i="1"/>
  <c r="AF160" i="1"/>
  <c r="AG160" i="1"/>
  <c r="AH160" i="1"/>
  <c r="AJ160" i="1"/>
  <c r="AK160" i="1"/>
  <c r="AL160" i="1"/>
  <c r="AO160" i="1"/>
  <c r="AP160" i="1"/>
  <c r="AV160" i="1"/>
  <c r="AW160" i="1"/>
  <c r="AX160" i="1"/>
  <c r="BC160" i="1"/>
  <c r="BD160" i="1"/>
  <c r="BF160" i="1"/>
  <c r="BH160" i="1"/>
  <c r="BI160" i="1"/>
  <c r="BJ160" i="1"/>
  <c r="J161" i="1"/>
  <c r="K161" i="1"/>
  <c r="L161" i="1"/>
  <c r="N161" i="1"/>
  <c r="Z161" i="1"/>
  <c r="AB161" i="1"/>
  <c r="AC161" i="1"/>
  <c r="AD161" i="1"/>
  <c r="AE161" i="1"/>
  <c r="AF161" i="1"/>
  <c r="AG161" i="1"/>
  <c r="AH161" i="1"/>
  <c r="AJ161" i="1"/>
  <c r="AK161" i="1"/>
  <c r="AL161" i="1"/>
  <c r="AO161" i="1"/>
  <c r="AP161" i="1"/>
  <c r="AV161" i="1"/>
  <c r="AW161" i="1"/>
  <c r="AX161" i="1"/>
  <c r="BC161" i="1"/>
  <c r="BD161" i="1"/>
  <c r="BF161" i="1"/>
  <c r="BH161" i="1"/>
  <c r="BI161" i="1"/>
  <c r="BJ161" i="1"/>
  <c r="J162" i="1"/>
  <c r="K162" i="1"/>
  <c r="L162" i="1"/>
  <c r="N162" i="1"/>
  <c r="Z162" i="1"/>
  <c r="AB162" i="1"/>
  <c r="AC162" i="1"/>
  <c r="AD162" i="1"/>
  <c r="AE162" i="1"/>
  <c r="AF162" i="1"/>
  <c r="AG162" i="1"/>
  <c r="AH162" i="1"/>
  <c r="AJ162" i="1"/>
  <c r="AK162" i="1"/>
  <c r="AL162" i="1"/>
  <c r="AO162" i="1"/>
  <c r="AP162" i="1"/>
  <c r="AV162" i="1"/>
  <c r="AW162" i="1"/>
  <c r="AX162" i="1"/>
  <c r="BC162" i="1"/>
  <c r="BD162" i="1"/>
  <c r="BF162" i="1"/>
  <c r="BH162" i="1"/>
  <c r="BI162" i="1"/>
  <c r="BJ162" i="1"/>
  <c r="J163" i="1"/>
  <c r="K163" i="1"/>
  <c r="L163" i="1"/>
  <c r="N163" i="1"/>
  <c r="Z163" i="1"/>
  <c r="AB163" i="1"/>
  <c r="AC163" i="1"/>
  <c r="AD163" i="1"/>
  <c r="AE163" i="1"/>
  <c r="AF163" i="1"/>
  <c r="AG163" i="1"/>
  <c r="AH163" i="1"/>
  <c r="AJ163" i="1"/>
  <c r="AK163" i="1"/>
  <c r="AL163" i="1"/>
  <c r="AO163" i="1"/>
  <c r="AP163" i="1"/>
  <c r="AV163" i="1"/>
  <c r="AW163" i="1"/>
  <c r="AX163" i="1"/>
  <c r="BC163" i="1"/>
  <c r="BD163" i="1"/>
  <c r="BF163" i="1"/>
  <c r="BH163" i="1"/>
  <c r="BI163" i="1"/>
  <c r="BJ163" i="1"/>
  <c r="J164" i="1"/>
  <c r="K164" i="1"/>
  <c r="L164" i="1"/>
  <c r="N164" i="1"/>
  <c r="Z164" i="1"/>
  <c r="AB164" i="1"/>
  <c r="AC164" i="1"/>
  <c r="AD164" i="1"/>
  <c r="AE164" i="1"/>
  <c r="AF164" i="1"/>
  <c r="AG164" i="1"/>
  <c r="AH164" i="1"/>
  <c r="AJ164" i="1"/>
  <c r="AK164" i="1"/>
  <c r="AL164" i="1"/>
  <c r="AO164" i="1"/>
  <c r="AP164" i="1"/>
  <c r="AV164" i="1"/>
  <c r="AW164" i="1"/>
  <c r="AX164" i="1"/>
  <c r="BC164" i="1"/>
  <c r="BD164" i="1"/>
  <c r="BF164" i="1"/>
  <c r="BH164" i="1"/>
  <c r="BI164" i="1"/>
  <c r="BJ164" i="1"/>
  <c r="J165" i="1"/>
  <c r="K165" i="1"/>
  <c r="L165" i="1"/>
  <c r="N165" i="1"/>
  <c r="Z165" i="1"/>
  <c r="AB165" i="1"/>
  <c r="AC165" i="1"/>
  <c r="AD165" i="1"/>
  <c r="AE165" i="1"/>
  <c r="AF165" i="1"/>
  <c r="AG165" i="1"/>
  <c r="AH165" i="1"/>
  <c r="AJ165" i="1"/>
  <c r="AK165" i="1"/>
  <c r="AL165" i="1"/>
  <c r="AO165" i="1"/>
  <c r="AP165" i="1"/>
  <c r="AV165" i="1"/>
  <c r="AW165" i="1"/>
  <c r="AX165" i="1"/>
  <c r="BC165" i="1"/>
  <c r="BD165" i="1"/>
  <c r="BF165" i="1"/>
  <c r="BH165" i="1"/>
  <c r="BI165" i="1"/>
  <c r="BJ165" i="1"/>
  <c r="J166" i="1"/>
  <c r="K166" i="1"/>
  <c r="L166" i="1"/>
  <c r="N166" i="1"/>
  <c r="Z166" i="1"/>
  <c r="AB166" i="1"/>
  <c r="AC166" i="1"/>
  <c r="AD166" i="1"/>
  <c r="AE166" i="1"/>
  <c r="AF166" i="1"/>
  <c r="AG166" i="1"/>
  <c r="AH166" i="1"/>
  <c r="AJ166" i="1"/>
  <c r="AK166" i="1"/>
  <c r="AL166" i="1"/>
  <c r="AO166" i="1"/>
  <c r="AP166" i="1"/>
  <c r="AV166" i="1"/>
  <c r="AW166" i="1"/>
  <c r="AX166" i="1"/>
  <c r="BC166" i="1"/>
  <c r="BD166" i="1"/>
  <c r="BF166" i="1"/>
  <c r="BH166" i="1"/>
  <c r="BI166" i="1"/>
  <c r="BJ166" i="1"/>
  <c r="J167" i="1"/>
  <c r="K167" i="1"/>
  <c r="L167" i="1"/>
  <c r="N167" i="1"/>
  <c r="Z167" i="1"/>
  <c r="AB167" i="1"/>
  <c r="AC167" i="1"/>
  <c r="AD167" i="1"/>
  <c r="AE167" i="1"/>
  <c r="AF167" i="1"/>
  <c r="AG167" i="1"/>
  <c r="AH167" i="1"/>
  <c r="AJ167" i="1"/>
  <c r="AK167" i="1"/>
  <c r="AL167" i="1"/>
  <c r="AO167" i="1"/>
  <c r="AP167" i="1"/>
  <c r="AV167" i="1"/>
  <c r="AW167" i="1"/>
  <c r="AX167" i="1"/>
  <c r="BC167" i="1"/>
  <c r="BD167" i="1"/>
  <c r="BF167" i="1"/>
  <c r="BH167" i="1"/>
  <c r="BI167" i="1"/>
  <c r="BJ167" i="1"/>
  <c r="J168" i="1"/>
  <c r="K168" i="1"/>
  <c r="L168" i="1"/>
  <c r="N168" i="1"/>
  <c r="Z168" i="1"/>
  <c r="AB168" i="1"/>
  <c r="AC168" i="1"/>
  <c r="AD168" i="1"/>
  <c r="AE168" i="1"/>
  <c r="AF168" i="1"/>
  <c r="AG168" i="1"/>
  <c r="AH168" i="1"/>
  <c r="AJ168" i="1"/>
  <c r="AK168" i="1"/>
  <c r="AL168" i="1"/>
  <c r="AO168" i="1"/>
  <c r="AP168" i="1"/>
  <c r="AV168" i="1"/>
  <c r="AW168" i="1"/>
  <c r="AX168" i="1"/>
  <c r="BC168" i="1"/>
  <c r="BD168" i="1"/>
  <c r="BF168" i="1"/>
  <c r="BH168" i="1"/>
  <c r="BI168" i="1"/>
  <c r="BJ168" i="1"/>
  <c r="J169" i="1"/>
  <c r="K169" i="1"/>
  <c r="L169" i="1"/>
  <c r="N169" i="1"/>
  <c r="Z169" i="1"/>
  <c r="AB169" i="1"/>
  <c r="AC169" i="1"/>
  <c r="AD169" i="1"/>
  <c r="AE169" i="1"/>
  <c r="AF169" i="1"/>
  <c r="AG169" i="1"/>
  <c r="AH169" i="1"/>
  <c r="AJ169" i="1"/>
  <c r="AK169" i="1"/>
  <c r="AL169" i="1"/>
  <c r="AO169" i="1"/>
  <c r="AP169" i="1"/>
  <c r="AV169" i="1"/>
  <c r="AW169" i="1"/>
  <c r="AX169" i="1"/>
  <c r="BC169" i="1"/>
  <c r="BD169" i="1"/>
  <c r="BF169" i="1"/>
  <c r="BH169" i="1"/>
  <c r="BI169" i="1"/>
  <c r="BJ169" i="1"/>
  <c r="J170" i="1"/>
  <c r="K170" i="1"/>
  <c r="L170" i="1"/>
  <c r="N170" i="1"/>
  <c r="Z170" i="1"/>
  <c r="AB170" i="1"/>
  <c r="AC170" i="1"/>
  <c r="AD170" i="1"/>
  <c r="AE170" i="1"/>
  <c r="AF170" i="1"/>
  <c r="AG170" i="1"/>
  <c r="AH170" i="1"/>
  <c r="AJ170" i="1"/>
  <c r="AK170" i="1"/>
  <c r="AL170" i="1"/>
  <c r="AO170" i="1"/>
  <c r="AP170" i="1"/>
  <c r="AV170" i="1"/>
  <c r="AW170" i="1"/>
  <c r="AX170" i="1"/>
  <c r="BC170" i="1"/>
  <c r="BD170" i="1"/>
  <c r="BF170" i="1"/>
  <c r="BH170" i="1"/>
  <c r="BI170" i="1"/>
  <c r="BJ170" i="1"/>
  <c r="J171" i="1"/>
  <c r="K171" i="1"/>
  <c r="L171" i="1"/>
  <c r="N171" i="1"/>
  <c r="Z171" i="1"/>
  <c r="AB171" i="1"/>
  <c r="AC171" i="1"/>
  <c r="AD171" i="1"/>
  <c r="AE171" i="1"/>
  <c r="AF171" i="1"/>
  <c r="AG171" i="1"/>
  <c r="AH171" i="1"/>
  <c r="AJ171" i="1"/>
  <c r="AK171" i="1"/>
  <c r="AL171" i="1"/>
  <c r="AO171" i="1"/>
  <c r="AP171" i="1"/>
  <c r="AV171" i="1"/>
  <c r="AW171" i="1"/>
  <c r="AX171" i="1"/>
  <c r="BC171" i="1"/>
  <c r="BD171" i="1"/>
  <c r="BF171" i="1"/>
  <c r="BH171" i="1"/>
  <c r="BI171" i="1"/>
  <c r="BJ171" i="1"/>
  <c r="J172" i="1"/>
  <c r="K172" i="1"/>
  <c r="L172" i="1"/>
  <c r="N172" i="1"/>
  <c r="AS172" i="1"/>
  <c r="AT172" i="1"/>
  <c r="AU172" i="1"/>
  <c r="J173" i="1"/>
  <c r="K173" i="1"/>
  <c r="L173" i="1"/>
  <c r="N173" i="1"/>
  <c r="Z173" i="1"/>
  <c r="AB173" i="1"/>
  <c r="AC173" i="1"/>
  <c r="AD173" i="1"/>
  <c r="AE173" i="1"/>
  <c r="AF173" i="1"/>
  <c r="AG173" i="1"/>
  <c r="AH173" i="1"/>
  <c r="AJ173" i="1"/>
  <c r="AK173" i="1"/>
  <c r="AL173" i="1"/>
  <c r="AO173" i="1"/>
  <c r="AP173" i="1"/>
  <c r="AV173" i="1"/>
  <c r="AW173" i="1"/>
  <c r="AX173" i="1"/>
  <c r="BC173" i="1"/>
  <c r="BD173" i="1"/>
  <c r="BF173" i="1"/>
  <c r="BH173" i="1"/>
  <c r="BI173" i="1"/>
  <c r="BJ173" i="1"/>
  <c r="J174" i="1"/>
  <c r="K174" i="1"/>
  <c r="L174" i="1"/>
  <c r="N174" i="1"/>
  <c r="Z174" i="1"/>
  <c r="AB174" i="1"/>
  <c r="AC174" i="1"/>
  <c r="AD174" i="1"/>
  <c r="AE174" i="1"/>
  <c r="AF174" i="1"/>
  <c r="AG174" i="1"/>
  <c r="AH174" i="1"/>
  <c r="AJ174" i="1"/>
  <c r="AK174" i="1"/>
  <c r="AL174" i="1"/>
  <c r="AO174" i="1"/>
  <c r="AP174" i="1"/>
  <c r="AV174" i="1"/>
  <c r="AW174" i="1"/>
  <c r="AX174" i="1"/>
  <c r="BC174" i="1"/>
  <c r="BD174" i="1"/>
  <c r="BF174" i="1"/>
  <c r="BH174" i="1"/>
  <c r="BI174" i="1"/>
  <c r="BJ174" i="1"/>
  <c r="J175" i="1"/>
  <c r="K175" i="1"/>
  <c r="L175" i="1"/>
  <c r="N175" i="1"/>
  <c r="Z175" i="1"/>
  <c r="AB175" i="1"/>
  <c r="AC175" i="1"/>
  <c r="AD175" i="1"/>
  <c r="AE175" i="1"/>
  <c r="AF175" i="1"/>
  <c r="AG175" i="1"/>
  <c r="AH175" i="1"/>
  <c r="AJ175" i="1"/>
  <c r="AK175" i="1"/>
  <c r="AL175" i="1"/>
  <c r="AO175" i="1"/>
  <c r="AP175" i="1"/>
  <c r="AV175" i="1"/>
  <c r="AW175" i="1"/>
  <c r="AX175" i="1"/>
  <c r="BC175" i="1"/>
  <c r="BD175" i="1"/>
  <c r="BF175" i="1"/>
  <c r="BH175" i="1"/>
  <c r="BI175" i="1"/>
  <c r="BJ175" i="1"/>
  <c r="J176" i="1"/>
  <c r="K176" i="1"/>
  <c r="L176" i="1"/>
  <c r="N176" i="1"/>
  <c r="Z176" i="1"/>
  <c r="AB176" i="1"/>
  <c r="AC176" i="1"/>
  <c r="AD176" i="1"/>
  <c r="AE176" i="1"/>
  <c r="AF176" i="1"/>
  <c r="AG176" i="1"/>
  <c r="AH176" i="1"/>
  <c r="AJ176" i="1"/>
  <c r="AK176" i="1"/>
  <c r="AL176" i="1"/>
  <c r="AO176" i="1"/>
  <c r="AP176" i="1"/>
  <c r="AV176" i="1"/>
  <c r="AW176" i="1"/>
  <c r="AX176" i="1"/>
  <c r="BC176" i="1"/>
  <c r="BD176" i="1"/>
  <c r="BF176" i="1"/>
  <c r="BH176" i="1"/>
  <c r="BI176" i="1"/>
  <c r="BJ176" i="1"/>
  <c r="J177" i="1"/>
  <c r="K177" i="1"/>
  <c r="L177" i="1"/>
  <c r="N177" i="1"/>
  <c r="Z177" i="1"/>
  <c r="AB177" i="1"/>
  <c r="AC177" i="1"/>
  <c r="AD177" i="1"/>
  <c r="AE177" i="1"/>
  <c r="AF177" i="1"/>
  <c r="AG177" i="1"/>
  <c r="AH177" i="1"/>
  <c r="AJ177" i="1"/>
  <c r="AK177" i="1"/>
  <c r="AL177" i="1"/>
  <c r="AO177" i="1"/>
  <c r="AP177" i="1"/>
  <c r="AV177" i="1"/>
  <c r="AW177" i="1"/>
  <c r="AX177" i="1"/>
  <c r="BC177" i="1"/>
  <c r="BD177" i="1"/>
  <c r="BF177" i="1"/>
  <c r="BH177" i="1"/>
  <c r="BI177" i="1"/>
  <c r="BJ177" i="1"/>
  <c r="J178" i="1"/>
  <c r="K178" i="1"/>
  <c r="L178" i="1"/>
  <c r="N178" i="1"/>
  <c r="AS178" i="1"/>
  <c r="AT178" i="1"/>
  <c r="AU178" i="1"/>
  <c r="J179" i="1"/>
  <c r="K179" i="1"/>
  <c r="L179" i="1"/>
  <c r="N179" i="1"/>
  <c r="Z179" i="1"/>
  <c r="AB179" i="1"/>
  <c r="AC179" i="1"/>
  <c r="AD179" i="1"/>
  <c r="AE179" i="1"/>
  <c r="AF179" i="1"/>
  <c r="AG179" i="1"/>
  <c r="AH179" i="1"/>
  <c r="AJ179" i="1"/>
  <c r="AK179" i="1"/>
  <c r="AL179" i="1"/>
  <c r="AO179" i="1"/>
  <c r="AP179" i="1"/>
  <c r="AV179" i="1"/>
  <c r="AW179" i="1"/>
  <c r="AX179" i="1"/>
  <c r="BC179" i="1"/>
  <c r="BD179" i="1"/>
  <c r="BF179" i="1"/>
  <c r="BH179" i="1"/>
  <c r="BI179" i="1"/>
  <c r="BJ179" i="1"/>
  <c r="J180" i="1"/>
  <c r="K180" i="1"/>
  <c r="L180" i="1"/>
  <c r="N180" i="1"/>
  <c r="Z180" i="1"/>
  <c r="AB180" i="1"/>
  <c r="AC180" i="1"/>
  <c r="AD180" i="1"/>
  <c r="AE180" i="1"/>
  <c r="AF180" i="1"/>
  <c r="AG180" i="1"/>
  <c r="AH180" i="1"/>
  <c r="AJ180" i="1"/>
  <c r="AK180" i="1"/>
  <c r="AL180" i="1"/>
  <c r="AO180" i="1"/>
  <c r="AP180" i="1"/>
  <c r="AV180" i="1"/>
  <c r="AW180" i="1"/>
  <c r="AX180" i="1"/>
  <c r="BC180" i="1"/>
  <c r="BD180" i="1"/>
  <c r="BF180" i="1"/>
  <c r="BH180" i="1"/>
  <c r="BI180" i="1"/>
  <c r="BJ180" i="1"/>
  <c r="J181" i="1"/>
  <c r="K181" i="1"/>
  <c r="L181" i="1"/>
  <c r="N181" i="1"/>
  <c r="Z181" i="1"/>
  <c r="AB181" i="1"/>
  <c r="AC181" i="1"/>
  <c r="AD181" i="1"/>
  <c r="AE181" i="1"/>
  <c r="AF181" i="1"/>
  <c r="AG181" i="1"/>
  <c r="AH181" i="1"/>
  <c r="AJ181" i="1"/>
  <c r="AK181" i="1"/>
  <c r="AL181" i="1"/>
  <c r="AO181" i="1"/>
  <c r="AP181" i="1"/>
  <c r="AV181" i="1"/>
  <c r="AW181" i="1"/>
  <c r="AX181" i="1"/>
  <c r="BC181" i="1"/>
  <c r="BD181" i="1"/>
  <c r="BF181" i="1"/>
  <c r="BH181" i="1"/>
  <c r="BI181" i="1"/>
  <c r="BJ181" i="1"/>
  <c r="J182" i="1"/>
  <c r="K182" i="1"/>
  <c r="L182" i="1"/>
  <c r="N182" i="1"/>
  <c r="Z182" i="1"/>
  <c r="AB182" i="1"/>
  <c r="AC182" i="1"/>
  <c r="AD182" i="1"/>
  <c r="AE182" i="1"/>
  <c r="AF182" i="1"/>
  <c r="AG182" i="1"/>
  <c r="AH182" i="1"/>
  <c r="AJ182" i="1"/>
  <c r="AK182" i="1"/>
  <c r="AL182" i="1"/>
  <c r="AO182" i="1"/>
  <c r="AP182" i="1"/>
  <c r="AV182" i="1"/>
  <c r="AW182" i="1"/>
  <c r="AX182" i="1"/>
  <c r="BC182" i="1"/>
  <c r="BD182" i="1"/>
  <c r="BF182" i="1"/>
  <c r="BH182" i="1"/>
  <c r="BI182" i="1"/>
  <c r="BJ182" i="1"/>
  <c r="J183" i="1"/>
  <c r="K183" i="1"/>
  <c r="L183" i="1"/>
  <c r="N183" i="1"/>
  <c r="Z183" i="1"/>
  <c r="AB183" i="1"/>
  <c r="AC183" i="1"/>
  <c r="AD183" i="1"/>
  <c r="AE183" i="1"/>
  <c r="AF183" i="1"/>
  <c r="AG183" i="1"/>
  <c r="AH183" i="1"/>
  <c r="AJ183" i="1"/>
  <c r="AK183" i="1"/>
  <c r="AL183" i="1"/>
  <c r="AO183" i="1"/>
  <c r="AP183" i="1"/>
  <c r="AV183" i="1"/>
  <c r="AW183" i="1"/>
  <c r="AX183" i="1"/>
  <c r="BC183" i="1"/>
  <c r="BD183" i="1"/>
  <c r="BF183" i="1"/>
  <c r="BH183" i="1"/>
  <c r="BI183" i="1"/>
  <c r="BJ183" i="1"/>
  <c r="J184" i="1"/>
  <c r="K184" i="1"/>
  <c r="L184" i="1"/>
  <c r="N184" i="1"/>
  <c r="AS184" i="1"/>
  <c r="AT184" i="1"/>
  <c r="AU184" i="1"/>
  <c r="J185" i="1"/>
  <c r="K185" i="1"/>
  <c r="L185" i="1"/>
  <c r="N185" i="1"/>
  <c r="Z185" i="1"/>
  <c r="AB185" i="1"/>
  <c r="AC185" i="1"/>
  <c r="AD185" i="1"/>
  <c r="AE185" i="1"/>
  <c r="AF185" i="1"/>
  <c r="AG185" i="1"/>
  <c r="AH185" i="1"/>
  <c r="AJ185" i="1"/>
  <c r="AK185" i="1"/>
  <c r="AL185" i="1"/>
  <c r="AO185" i="1"/>
  <c r="AP185" i="1"/>
  <c r="AV185" i="1"/>
  <c r="AW185" i="1"/>
  <c r="AX185" i="1"/>
  <c r="BC185" i="1"/>
  <c r="BD185" i="1"/>
  <c r="BF185" i="1"/>
  <c r="BH185" i="1"/>
  <c r="BI185" i="1"/>
  <c r="BJ185" i="1"/>
  <c r="J186" i="1"/>
  <c r="K186" i="1"/>
  <c r="L186" i="1"/>
  <c r="N186" i="1"/>
  <c r="Z186" i="1"/>
  <c r="AB186" i="1"/>
  <c r="AC186" i="1"/>
  <c r="AD186" i="1"/>
  <c r="AE186" i="1"/>
  <c r="AF186" i="1"/>
  <c r="AG186" i="1"/>
  <c r="AH186" i="1"/>
  <c r="AJ186" i="1"/>
  <c r="AK186" i="1"/>
  <c r="AL186" i="1"/>
  <c r="AO186" i="1"/>
  <c r="AP186" i="1"/>
  <c r="AV186" i="1"/>
  <c r="AW186" i="1"/>
  <c r="AX186" i="1"/>
  <c r="BC186" i="1"/>
  <c r="BD186" i="1"/>
  <c r="BF186" i="1"/>
  <c r="BH186" i="1"/>
  <c r="BI186" i="1"/>
  <c r="BJ186" i="1"/>
  <c r="J187" i="1"/>
  <c r="K187" i="1"/>
  <c r="L187" i="1"/>
  <c r="N187" i="1"/>
  <c r="Z187" i="1"/>
  <c r="AB187" i="1"/>
  <c r="AC187" i="1"/>
  <c r="AD187" i="1"/>
  <c r="AE187" i="1"/>
  <c r="AF187" i="1"/>
  <c r="AG187" i="1"/>
  <c r="AH187" i="1"/>
  <c r="AJ187" i="1"/>
  <c r="AK187" i="1"/>
  <c r="AL187" i="1"/>
  <c r="AO187" i="1"/>
  <c r="AP187" i="1"/>
  <c r="AV187" i="1"/>
  <c r="AW187" i="1"/>
  <c r="AX187" i="1"/>
  <c r="BC187" i="1"/>
  <c r="BD187" i="1"/>
  <c r="BF187" i="1"/>
  <c r="BH187" i="1"/>
  <c r="BI187" i="1"/>
  <c r="BJ187" i="1"/>
  <c r="L189" i="1"/>
  <c r="C2" i="2"/>
  <c r="G2" i="2"/>
  <c r="C4" i="2"/>
  <c r="G4" i="2"/>
  <c r="C6" i="2"/>
  <c r="G6" i="2"/>
  <c r="C8" i="2"/>
  <c r="G8" i="2"/>
  <c r="D11" i="2"/>
  <c r="E11" i="2"/>
  <c r="F11" i="2"/>
  <c r="G11" i="2"/>
  <c r="I11" i="2"/>
  <c r="D12" i="2"/>
  <c r="E12" i="2"/>
  <c r="F12" i="2"/>
  <c r="G12" i="2"/>
  <c r="I12" i="2"/>
  <c r="D13" i="2"/>
  <c r="E13" i="2"/>
  <c r="F13" i="2"/>
  <c r="G13" i="2"/>
  <c r="I13" i="2"/>
  <c r="D14" i="2"/>
  <c r="E14" i="2"/>
  <c r="F14" i="2"/>
  <c r="G14" i="2"/>
  <c r="I14" i="2"/>
  <c r="D15" i="2"/>
  <c r="E15" i="2"/>
  <c r="F15" i="2"/>
  <c r="G15" i="2"/>
  <c r="I15" i="2"/>
  <c r="D16" i="2"/>
  <c r="E16" i="2"/>
  <c r="F16" i="2"/>
  <c r="G16" i="2"/>
  <c r="I16" i="2"/>
  <c r="D17" i="2"/>
  <c r="E17" i="2"/>
  <c r="F17" i="2"/>
  <c r="G17" i="2"/>
  <c r="I17" i="2"/>
  <c r="D18" i="2"/>
  <c r="E18" i="2"/>
  <c r="F18" i="2"/>
  <c r="G18" i="2"/>
  <c r="I18" i="2"/>
  <c r="D19" i="2"/>
  <c r="E19" i="2"/>
  <c r="F19" i="2"/>
  <c r="G19" i="2"/>
  <c r="I19" i="2"/>
  <c r="D20" i="2"/>
  <c r="E20" i="2"/>
  <c r="F20" i="2"/>
  <c r="G20" i="2"/>
  <c r="I20" i="2"/>
  <c r="D21" i="2"/>
  <c r="E21" i="2"/>
  <c r="F21" i="2"/>
  <c r="G21" i="2"/>
  <c r="I21" i="2"/>
  <c r="D22" i="2"/>
  <c r="E22" i="2"/>
  <c r="F22" i="2"/>
  <c r="G22" i="2"/>
  <c r="I22" i="2"/>
  <c r="D23" i="2"/>
  <c r="E23" i="2"/>
  <c r="F23" i="2"/>
  <c r="G23" i="2"/>
  <c r="I23" i="2"/>
  <c r="D24" i="2"/>
  <c r="E24" i="2"/>
  <c r="F24" i="2"/>
  <c r="G24" i="2"/>
  <c r="I24" i="2"/>
  <c r="D25" i="2"/>
  <c r="E25" i="2"/>
  <c r="F25" i="2"/>
  <c r="G25" i="2"/>
  <c r="I25" i="2"/>
  <c r="D26" i="2"/>
  <c r="E26" i="2"/>
  <c r="F26" i="2"/>
  <c r="G26" i="2"/>
  <c r="I26" i="2"/>
  <c r="D27" i="2"/>
  <c r="E27" i="2"/>
  <c r="F27" i="2"/>
  <c r="G27" i="2"/>
  <c r="I27" i="2"/>
  <c r="D28" i="2"/>
  <c r="E28" i="2"/>
  <c r="F28" i="2"/>
  <c r="G28" i="2"/>
  <c r="I28" i="2"/>
  <c r="D29" i="2"/>
  <c r="E29" i="2"/>
  <c r="F29" i="2"/>
  <c r="G29" i="2"/>
  <c r="I29" i="2"/>
  <c r="D30" i="2"/>
  <c r="E30" i="2"/>
  <c r="F30" i="2"/>
  <c r="G30" i="2"/>
  <c r="I30" i="2"/>
  <c r="D31" i="2"/>
  <c r="E31" i="2"/>
  <c r="F31" i="2"/>
  <c r="G31" i="2"/>
  <c r="I31" i="2"/>
  <c r="D32" i="2"/>
  <c r="E32" i="2"/>
  <c r="F32" i="2"/>
  <c r="G32" i="2"/>
  <c r="I32" i="2"/>
  <c r="D33" i="2"/>
  <c r="E33" i="2"/>
  <c r="F33" i="2"/>
  <c r="G33" i="2"/>
  <c r="I33" i="2"/>
  <c r="D34" i="2"/>
  <c r="E34" i="2"/>
  <c r="F34" i="2"/>
  <c r="G34" i="2"/>
  <c r="I34" i="2"/>
  <c r="D35" i="2"/>
  <c r="E35" i="2"/>
  <c r="F35" i="2"/>
  <c r="G35" i="2"/>
  <c r="I35" i="2"/>
  <c r="D36" i="2"/>
  <c r="E36" i="2"/>
  <c r="F36" i="2"/>
  <c r="G36" i="2"/>
  <c r="I36" i="2"/>
  <c r="D37" i="2"/>
  <c r="E37" i="2"/>
  <c r="F37" i="2"/>
  <c r="G37" i="2"/>
  <c r="I37" i="2"/>
  <c r="D38" i="2"/>
  <c r="E38" i="2"/>
  <c r="F38" i="2"/>
  <c r="G38" i="2"/>
  <c r="I38" i="2"/>
  <c r="D39" i="2"/>
  <c r="E39" i="2"/>
  <c r="F39" i="2"/>
  <c r="G39" i="2"/>
  <c r="I39" i="2"/>
  <c r="D40" i="2"/>
  <c r="E40" i="2"/>
  <c r="F40" i="2"/>
  <c r="G40" i="2"/>
  <c r="I40" i="2"/>
  <c r="F41" i="2"/>
  <c r="C2" i="5"/>
  <c r="F2" i="5"/>
  <c r="C4" i="5"/>
  <c r="F4" i="5"/>
  <c r="C6" i="5"/>
  <c r="F6" i="5"/>
  <c r="C8" i="5"/>
  <c r="F8" i="5"/>
  <c r="C10" i="5"/>
  <c r="F10" i="5"/>
  <c r="I10" i="5"/>
  <c r="I15" i="5"/>
  <c r="I16" i="5"/>
  <c r="I17" i="5"/>
  <c r="I18" i="5"/>
  <c r="I21" i="5"/>
  <c r="I22" i="5"/>
  <c r="I23" i="5"/>
  <c r="I24" i="5"/>
  <c r="I25" i="5"/>
  <c r="I26" i="5"/>
  <c r="I27" i="5"/>
  <c r="F29" i="5"/>
  <c r="I35" i="5"/>
  <c r="I36" i="5"/>
  <c r="B2" i="3"/>
  <c r="E2" i="3"/>
  <c r="B4" i="3"/>
  <c r="E4" i="3"/>
  <c r="B6" i="3"/>
  <c r="E6" i="3"/>
  <c r="B8" i="3"/>
  <c r="E8" i="3"/>
</calcChain>
</file>

<file path=xl/sharedStrings.xml><?xml version="1.0" encoding="utf-8"?>
<sst xmlns="http://schemas.openxmlformats.org/spreadsheetml/2006/main" count="2397" uniqueCount="640">
  <si>
    <t>Slepý stavební rozpočet</t>
  </si>
  <si>
    <t>Název stavby:</t>
  </si>
  <si>
    <t>Druh stavby:</t>
  </si>
  <si>
    <t>Umístění:</t>
  </si>
  <si>
    <t>JKSO:</t>
  </si>
  <si>
    <t>Č</t>
  </si>
  <si>
    <t xml:space="preserve">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</si>
  <si>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</si>
  <si>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</si>
  <si>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</si>
  <si>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</si>
  <si>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</si>
  <si>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</si>
  <si>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</si>
  <si>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</si>
  <si>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</si>
  <si>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</si>
  <si>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</si>
  <si>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</si>
  <si>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</si>
  <si>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</si>
  <si>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</si>
  <si>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</si>
  <si>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</si>
  <si>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</si>
  <si>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</si>
  <si>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</si>
  <si>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</si>
  <si>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</si>
  <si>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</si>
  <si>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</si>
  <si>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</si>
  <si>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</si>
  <si>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</si>
  <si>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</si>
  <si>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</si>
  <si>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</si>
  <si>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</si>
  <si>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</si>
  <si>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</si>
  <si>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</si>
  <si>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</si>
  <si>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</si>
  <si>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</si>
  <si>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</si>
  <si>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</si>
  <si>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</si>
  <si>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</si>
  <si>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</si>
  <si>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</si>
  <si>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</si>
  <si>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</si>
  <si>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</si>
  <si>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</si>
  <si>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</si>
  <si>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</si>
  <si>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</si>
  <si>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</si>
  <si>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</si>
  <si>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</si>
  <si>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</si>
  <si>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</si>
  <si>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</si>
  <si>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</si>
  <si>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</si>
  <si>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</si>
  <si>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</si>
  <si>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</si>
  <si>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</si>
  <si>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</si>
  <si>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</si>
  <si>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</si>
  <si>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</si>
  <si>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</si>
  <si>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</si>
  <si>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</si>
  <si>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</si>
  <si>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</si>
  <si>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</si>
  <si>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</si>
  <si>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</si>
  <si>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</si>
  <si>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</si>
  <si>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</si>
  <si>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</si>
  <si>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</si>
  <si>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</si>
  <si>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</si>
  <si>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</si>
  <si>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</si>
  <si>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</si>
  <si>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</si>
  <si>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</si>
  <si>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</si>
  <si>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</si>
  <si>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</si>
  <si>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</si>
  <si>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</si>
  <si>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</si>
  <si>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</si>
  <si>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</si>
  <si>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</si>
  <si>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</si>
  <si>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</si>
  <si>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</si>
  <si>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</si>
  <si>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</si>
  <si>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</si>
  <si>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</si>
  <si>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</si>
  <si>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</si>
  <si>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</si>
  <si>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</si>
  <si>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</si>
  <si>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</si>
  <si>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</si>
  <si>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</si>
  <si>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</si>
  <si>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</si>
  <si>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</si>
  <si>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</si>
  <si>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</si>
  <si>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</si>
  <si>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</si>
  <si>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</si>
  <si>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</si>
  <si>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</si>
  <si>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</si>
  <si>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</si>
  <si>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</si>
  <si>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</si>
  <si>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</si>
  <si>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</si>
  <si>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</si>
  <si>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</si>
  <si>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</si>
  <si>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</si>
  <si>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</si>
  <si>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</si>
  <si>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</si>
  <si>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</si>
  <si>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</si>
  <si>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</si>
  <si>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</si>
  <si>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</si>
  <si>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</si>
  <si>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</si>
  <si>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Poznámka:</t>
  </si>
  <si>
    <t>Kód</t>
  </si>
  <si>
    <t>11VD</t>
  </si>
  <si>
    <t>11001VD</t>
  </si>
  <si>
    <t>310237241RT1</t>
  </si>
  <si>
    <t>612401291RT2</t>
  </si>
  <si>
    <t>632451335R00</t>
  </si>
  <si>
    <t>713</t>
  </si>
  <si>
    <t>722181225RV9</t>
  </si>
  <si>
    <t>722181225RW4</t>
  </si>
  <si>
    <t>722181225RY3</t>
  </si>
  <si>
    <t>721</t>
  </si>
  <si>
    <t>721170902R00</t>
  </si>
  <si>
    <t>721176102R00</t>
  </si>
  <si>
    <t>722</t>
  </si>
  <si>
    <t>722171912R00</t>
  </si>
  <si>
    <t>722172963R00</t>
  </si>
  <si>
    <t>722172711R00</t>
  </si>
  <si>
    <t>722172712R00</t>
  </si>
  <si>
    <t>722179191R00</t>
  </si>
  <si>
    <t>722264112R00</t>
  </si>
  <si>
    <t>722265246R00</t>
  </si>
  <si>
    <t>722269114R00</t>
  </si>
  <si>
    <t>731</t>
  </si>
  <si>
    <t>731391822R00</t>
  </si>
  <si>
    <t>731100806R00</t>
  </si>
  <si>
    <t>731249129R00</t>
  </si>
  <si>
    <t>0010VD</t>
  </si>
  <si>
    <t>06004VD</t>
  </si>
  <si>
    <t>022021VD</t>
  </si>
  <si>
    <t>06003VD</t>
  </si>
  <si>
    <t>05012VD</t>
  </si>
  <si>
    <t>06002VD</t>
  </si>
  <si>
    <t>732</t>
  </si>
  <si>
    <t>732420811R00</t>
  </si>
  <si>
    <t>732421313R00</t>
  </si>
  <si>
    <t>732429112R00</t>
  </si>
  <si>
    <t>732331521R00</t>
  </si>
  <si>
    <t>732343213R00</t>
  </si>
  <si>
    <t>732339114R00</t>
  </si>
  <si>
    <t>733</t>
  </si>
  <si>
    <t>733110806R00</t>
  </si>
  <si>
    <t>733110808R00</t>
  </si>
  <si>
    <t>733110810R00</t>
  </si>
  <si>
    <t>733124122R00</t>
  </si>
  <si>
    <t>733111318R00</t>
  </si>
  <si>
    <t>733111317R00</t>
  </si>
  <si>
    <t>733111316R00</t>
  </si>
  <si>
    <t>733111313R00</t>
  </si>
  <si>
    <t>734</t>
  </si>
  <si>
    <t>734200811R00</t>
  </si>
  <si>
    <t>734200821R00</t>
  </si>
  <si>
    <t>734200822R00</t>
  </si>
  <si>
    <t>734200824R00</t>
  </si>
  <si>
    <t>734421150R00</t>
  </si>
  <si>
    <t>734291113R00</t>
  </si>
  <si>
    <t>734213112R00</t>
  </si>
  <si>
    <t>734209127R00</t>
  </si>
  <si>
    <t>734209126R00</t>
  </si>
  <si>
    <t>734223835R00</t>
  </si>
  <si>
    <t>734237136R00</t>
  </si>
  <si>
    <t>734237146R00</t>
  </si>
  <si>
    <t>734237115R00</t>
  </si>
  <si>
    <t>734237145R00</t>
  </si>
  <si>
    <t>734237114R00</t>
  </si>
  <si>
    <t>734237144R00</t>
  </si>
  <si>
    <t>734237112R00</t>
  </si>
  <si>
    <t>734237141R00</t>
  </si>
  <si>
    <t>734255111R00</t>
  </si>
  <si>
    <t>734255121R00</t>
  </si>
  <si>
    <t>734213133R00</t>
  </si>
  <si>
    <t>734295216R00</t>
  </si>
  <si>
    <t>734297212R00</t>
  </si>
  <si>
    <t>734297211R00</t>
  </si>
  <si>
    <t>734243415R00</t>
  </si>
  <si>
    <t>734415113R00</t>
  </si>
  <si>
    <t>734261225R00</t>
  </si>
  <si>
    <t>734267324R00</t>
  </si>
  <si>
    <t>734265316R00</t>
  </si>
  <si>
    <t>734265315R00</t>
  </si>
  <si>
    <t>734265313R00</t>
  </si>
  <si>
    <t>734265312R00</t>
  </si>
  <si>
    <t>734209119R00</t>
  </si>
  <si>
    <t>734209116R00</t>
  </si>
  <si>
    <t>734209115R00</t>
  </si>
  <si>
    <t>767</t>
  </si>
  <si>
    <t>767662110R00</t>
  </si>
  <si>
    <t>61143000</t>
  </si>
  <si>
    <t>766669117R00</t>
  </si>
  <si>
    <t>783</t>
  </si>
  <si>
    <t>783424140R00</t>
  </si>
  <si>
    <t>784</t>
  </si>
  <si>
    <t>784011222RT2</t>
  </si>
  <si>
    <t>784432261R00</t>
  </si>
  <si>
    <t>784403801R00</t>
  </si>
  <si>
    <t>795</t>
  </si>
  <si>
    <t>795221131R00</t>
  </si>
  <si>
    <t>965043421RT1</t>
  </si>
  <si>
    <t>971033451R00</t>
  </si>
  <si>
    <t>971033141R00</t>
  </si>
  <si>
    <t>H13</t>
  </si>
  <si>
    <t>998131111R00</t>
  </si>
  <si>
    <t>H713</t>
  </si>
  <si>
    <t>998713101R00</t>
  </si>
  <si>
    <t>998713192R00</t>
  </si>
  <si>
    <t>H731</t>
  </si>
  <si>
    <t>998731101R00</t>
  </si>
  <si>
    <t>998731193R00</t>
  </si>
  <si>
    <t>H732</t>
  </si>
  <si>
    <t>998732101R00</t>
  </si>
  <si>
    <t>998732193R00</t>
  </si>
  <si>
    <t>H733</t>
  </si>
  <si>
    <t>998733101R00</t>
  </si>
  <si>
    <t>998733193R00</t>
  </si>
  <si>
    <t>H734</t>
  </si>
  <si>
    <t>998734101R00</t>
  </si>
  <si>
    <t>998734193R00</t>
  </si>
  <si>
    <t>H764</t>
  </si>
  <si>
    <t>998764101R00</t>
  </si>
  <si>
    <t>998764192R00</t>
  </si>
  <si>
    <t>H77VD</t>
  </si>
  <si>
    <t>77003VD</t>
  </si>
  <si>
    <t>77002VD</t>
  </si>
  <si>
    <t>77001VD</t>
  </si>
  <si>
    <t>M06VD</t>
  </si>
  <si>
    <t>0604VD</t>
  </si>
  <si>
    <t>340912279R00</t>
  </si>
  <si>
    <t>06005VD</t>
  </si>
  <si>
    <t>M21</t>
  </si>
  <si>
    <t>21001VD</t>
  </si>
  <si>
    <t>210010002RT1</t>
  </si>
  <si>
    <t>21008VD</t>
  </si>
  <si>
    <t>210111021RT1</t>
  </si>
  <si>
    <t>210191013R00</t>
  </si>
  <si>
    <t>210810046RT3</t>
  </si>
  <si>
    <t>210810045RT1</t>
  </si>
  <si>
    <t>210810041RT1</t>
  </si>
  <si>
    <t>21005VD</t>
  </si>
  <si>
    <t>21003VD</t>
  </si>
  <si>
    <t>210201523R00</t>
  </si>
  <si>
    <t>210800547RT1</t>
  </si>
  <si>
    <t>210950101RT1</t>
  </si>
  <si>
    <t>M23</t>
  </si>
  <si>
    <t>230140070R00</t>
  </si>
  <si>
    <t>230140445R00</t>
  </si>
  <si>
    <t>230140436R00</t>
  </si>
  <si>
    <t>230140446R00</t>
  </si>
  <si>
    <t>230140437R00</t>
  </si>
  <si>
    <t>M72VD</t>
  </si>
  <si>
    <t>72306VD</t>
  </si>
  <si>
    <t>723 02VD</t>
  </si>
  <si>
    <t>72304VD</t>
  </si>
  <si>
    <t>727311VD</t>
  </si>
  <si>
    <t>72303VD</t>
  </si>
  <si>
    <t>S</t>
  </si>
  <si>
    <t>979012112R00</t>
  </si>
  <si>
    <t>979082212R00</t>
  </si>
  <si>
    <t>979981101R00</t>
  </si>
  <si>
    <t>Výměna zdroje tepla v budově Obecního úřadu Doubrava č.p. 599</t>
  </si>
  <si>
    <t>účelová-ostatní</t>
  </si>
  <si>
    <t>Budova OÚ, Doubrava 599,  735 33 Doubrava</t>
  </si>
  <si>
    <t>Zkrácený popis</t>
  </si>
  <si>
    <t>Rozměry</t>
  </si>
  <si>
    <t>Vedlejší náklady</t>
  </si>
  <si>
    <t>Hlídka po ukončení práce s otevř. ohněm</t>
  </si>
  <si>
    <t>Zdi podpěrné a volné</t>
  </si>
  <si>
    <t>Zazdívka otvorů pl.do 0,25 m2 (úprava pro průvětrník)</t>
  </si>
  <si>
    <t>Úprava povrchů vnitřní</t>
  </si>
  <si>
    <t>Omítka malých ploch vnitřních stěn do 0,25 m2</t>
  </si>
  <si>
    <t>Podlahy a podlahové konstrukce</t>
  </si>
  <si>
    <t>Potěr pískocementový pálený</t>
  </si>
  <si>
    <t>2,8*1,3</t>
  </si>
  <si>
    <t>Izolace tepelné</t>
  </si>
  <si>
    <t>Izolace návleková s povrch. úpravou, potrubí DN 32, tl. stěny 25 mm</t>
  </si>
  <si>
    <t>Izolace návleková s povrch. úpravou, potrubí DN 40, tl. stěny 25 mm</t>
  </si>
  <si>
    <t>Izolace návleková s povrch. úpravou, potrubí DN 50, tl. stěny 25 mm</t>
  </si>
  <si>
    <t>Vnitřní kanalizace</t>
  </si>
  <si>
    <t>Oprava potrubí  odpadní, vsazení odbočky do D 40</t>
  </si>
  <si>
    <t>Potrubí HT do D 40</t>
  </si>
  <si>
    <t>Vnitřní vodovod</t>
  </si>
  <si>
    <t>Odříznutí plastové trubky D 20 mm</t>
  </si>
  <si>
    <t>Vsaz.odboč.do plast.potrubí polyf.D 25 mm, vodovod</t>
  </si>
  <si>
    <t>Potrubí z PPR D 20 x 2,8 mm, PN 16</t>
  </si>
  <si>
    <t>Potrubí z PPR D 25 x 3,5 mm, PN 16</t>
  </si>
  <si>
    <t>Příplatek za malý rozsah do 20 m rozvodu</t>
  </si>
  <si>
    <t>Vodoměr bytový SV DN 15x110 mm,Qn 1,5 vč. šroubení</t>
  </si>
  <si>
    <t>Potrubní oddělovač riz.tř.4 (např. SYR BA 6600D mini)</t>
  </si>
  <si>
    <t>Dod.+mont.el.průtokového ohřívače TV 230 V / 3,5 kW</t>
  </si>
  <si>
    <t>Kotelny</t>
  </si>
  <si>
    <t>Vypouštění vody z kotlů a systému</t>
  </si>
  <si>
    <t>Demontáž kotle litinového Viadrus U,G Emka 8 čl.</t>
  </si>
  <si>
    <t>Montáž kotle ocel.teplov. do 50 kW</t>
  </si>
  <si>
    <t>Kotel KOMBI 48 kW na uhlí a dřevo s generátorovým zplynováním, odtah. ventilátor</t>
  </si>
  <si>
    <t>rozměry V x Š x H - 1435 x 675 x 1117, ekodesign, teplota spalin 173°C, chladící smyčka</t>
  </si>
  <si>
    <t>Kotel KOMBI 40 kW na uhlí a dřevo s generátorovým zplynováním, odtah. ventilátor</t>
  </si>
  <si>
    <t>rozměry V x Š x H - 1435 x 675 x 958, ekodesign, teplota spalin 225°C, chladící smyčka</t>
  </si>
  <si>
    <t>Bezpečnostní termostat na čerpadlo pod kapotu kotle 95°C (dod. výrobce kotle)</t>
  </si>
  <si>
    <t>Sada ekvitermní regulace (dod. výrobce kotle)</t>
  </si>
  <si>
    <t>Pokojová jednotka s dispaly k regulaci (dod. výrobce kotle)</t>
  </si>
  <si>
    <t>Ponorné tepl. čidlo (navíc k sadě regulace - dod. výrobce kotle)</t>
  </si>
  <si>
    <t>Termostatický ventil 3/4" / 95°C  pro chladící smyčku (dod. výrobce kotle)</t>
  </si>
  <si>
    <t>Strojovny</t>
  </si>
  <si>
    <t>Demontáž čerpadel oběhových spirálních DN 25 (na sklad)</t>
  </si>
  <si>
    <t>Dod.+ mont. čerpadlo oběhové dle EuP 2,3 m3/h // 28 kPa // 45 W</t>
  </si>
  <si>
    <t>Dod.+ mont. čerpadlo oběhové dle EuP 4 m3/h // 22 kPa // 56 W, autoadaptivní f-ce.</t>
  </si>
  <si>
    <t>Nádoby expanzní tlak.s memb. 400 L / 6 bar</t>
  </si>
  <si>
    <t>Akumulační nádoba 860 L / 3bar, vývody 4x 6/4", 1x 1/2" osazeny v ose</t>
  </si>
  <si>
    <t>průměr 790, výška 1975, klopná výška max. 2015, vývody 6/4" horní víko, vrch, střed, spodek</t>
  </si>
  <si>
    <t>Izolace AKU nádoby 860 L polyuretan s koženkovým povrchem (dod. výr. nádrže)</t>
  </si>
  <si>
    <t>Rozvod potrubí</t>
  </si>
  <si>
    <t>Demontáž potrubí ocelového závitového do DN 15-32</t>
  </si>
  <si>
    <t>Demontáž potrubí ocelového závitového do DN 32-50</t>
  </si>
  <si>
    <t>Demontáž potrubí ocelového závitového do DN 50-80</t>
  </si>
  <si>
    <t>Napojení potrubí DN 50 na stávající systém</t>
  </si>
  <si>
    <t>Potrubí závit. běžné svařované v kotelnách DN 50</t>
  </si>
  <si>
    <t>Potrubí závit. běžné svařované v kotelnách DN 40</t>
  </si>
  <si>
    <t>Potrubí závit. běžné svařované v kotelnách DN 32</t>
  </si>
  <si>
    <t>Potrubí závit. běžné svařované v kotelnách DN 15</t>
  </si>
  <si>
    <t>Armatury</t>
  </si>
  <si>
    <t>Demontáž armatur s 1závitem do G 1/2</t>
  </si>
  <si>
    <t>Demontáž armatur se 2závity do G 1/2</t>
  </si>
  <si>
    <t>Demontáž armatur se 2závity do G 1</t>
  </si>
  <si>
    <t>Demontáž armatur se 2závity do G 2</t>
  </si>
  <si>
    <t>Tlakoměr deformační 0-400 kPa / 1,6 / D 160 + red na připojení 1/2"</t>
  </si>
  <si>
    <t>Tlakoměr deformační 0-400 kPa, D 63 připojení 1/2" (nebo redukce)</t>
  </si>
  <si>
    <t>Kohouty plnící a vypouštěcí G 1/2</t>
  </si>
  <si>
    <t>Ventil automatický odvzdušňovací, DN 15</t>
  </si>
  <si>
    <t>Směšovací trojcestný ventil DN 40 6/4" Kvs= 25 + pohon 230 V / 120 sec., 3-bodový</t>
  </si>
  <si>
    <t>Směšovací termostat. armatura RP 5/4" Kvs=14, 65°C, dif.tlak 30 kPa</t>
  </si>
  <si>
    <t>Směšovací termostat. armatura RP 5/4" Kvs=14, 55°C, dif.tlak 30 kPa</t>
  </si>
  <si>
    <t>Ventil regulační - vyvažovací  DN 40, vnitř.z.měř. sondy</t>
  </si>
  <si>
    <t>Kohout kulový DN 50</t>
  </si>
  <si>
    <t>Kohout kulový s odv. DN 50</t>
  </si>
  <si>
    <t>Kohout kulový  DN 40</t>
  </si>
  <si>
    <t>Kohout kulový s odv. DN 40</t>
  </si>
  <si>
    <t>Kohout kulový DN 32</t>
  </si>
  <si>
    <t>Kohout kulový s odv. DN 32</t>
  </si>
  <si>
    <t>Kohout kulový DN 20</t>
  </si>
  <si>
    <t>Kohout kulový s odv. DN 15</t>
  </si>
  <si>
    <t>Ventil pojistný, DN 15 x 4 bar</t>
  </si>
  <si>
    <t>Ventil pojistný, DN 20 x 2,5 bar / 60 kW pára</t>
  </si>
  <si>
    <t>Jímka termočidla DN 15 / 200 mm</t>
  </si>
  <si>
    <t>Filtr DN 50 s magnet. trnem</t>
  </si>
  <si>
    <t>Filtr DN 20</t>
  </si>
  <si>
    <t>Filtr DN 15</t>
  </si>
  <si>
    <t>Klapka zpětná čistitelná bezpružinová DN 40</t>
  </si>
  <si>
    <t>Teploměr s jímkou 120°C DN 15</t>
  </si>
  <si>
    <t>Záslepka G 6/4"</t>
  </si>
  <si>
    <t>Šroubení k čerpadlům DN 25</t>
  </si>
  <si>
    <t>Šroubení DN 40</t>
  </si>
  <si>
    <t>Šroubení DN 32</t>
  </si>
  <si>
    <t>Šroubení DN 20</t>
  </si>
  <si>
    <t>Šroubení DN 15</t>
  </si>
  <si>
    <t>Redukce G 2" x 6/4"</t>
  </si>
  <si>
    <t>Redukce G6/4" x G1"</t>
  </si>
  <si>
    <t>Redukce G6/4" x G5/4"</t>
  </si>
  <si>
    <t>Redukce G5/4" x G1"</t>
  </si>
  <si>
    <t>Redukce G1" x G1/2"</t>
  </si>
  <si>
    <t>Fitink blíže nespecifikovaný (dvojsuvky a pod.)</t>
  </si>
  <si>
    <t>Konstrukce doplňkové stavební</t>
  </si>
  <si>
    <t>Dod.+mont. rámek 500 cm2 se síťovinou</t>
  </si>
  <si>
    <t>Okno plastové sklepní jednodílné, otevíratelné</t>
  </si>
  <si>
    <t>Dod+mont. samozavírače na ocelové dveře</t>
  </si>
  <si>
    <t>Nátěry</t>
  </si>
  <si>
    <t>Nátěr syntet. potrubí do DN 50 mm  Z + 1x email</t>
  </si>
  <si>
    <t>Malby</t>
  </si>
  <si>
    <t>Zakrytí podlah</t>
  </si>
  <si>
    <t>Malba klihová 1x,1barva, pačok 2x, místn. do 3,8 m</t>
  </si>
  <si>
    <t>19,84*2,15+24,5+5,3*2*0,25</t>
  </si>
  <si>
    <t>Odstranění maleb omytím v místnosti H do 3,8 m</t>
  </si>
  <si>
    <t>Hasicí zařízení</t>
  </si>
  <si>
    <t>Dod. + osazení hasicího přístroje práškového 34A vč.držáku</t>
  </si>
  <si>
    <t>Dod. + osazení hasicího přístroje vodního V10 vč.držáku</t>
  </si>
  <si>
    <t>Bourání konstrukcí</t>
  </si>
  <si>
    <t>Bourání podkladů bet., potěr tl. 15 cm, pl.1 m2</t>
  </si>
  <si>
    <t>(0,8*1,24+1,32*0,16)*0,15</t>
  </si>
  <si>
    <t>Prorážení otvorů a ostatní bourací práce</t>
  </si>
  <si>
    <t>Vybourání otv. zeď cihel. pl.0,25 m2 (pro větrání)</t>
  </si>
  <si>
    <t>Průrazy pro elektroinstalaci</t>
  </si>
  <si>
    <t>Komíny</t>
  </si>
  <si>
    <t>Přesun hmot pro komíny / kouřovody</t>
  </si>
  <si>
    <t>Přesun hmot pro izolace tepelné, výšky do 6 m</t>
  </si>
  <si>
    <t>Příplatek zvětš. přesun, izolace tepelné do 100 m</t>
  </si>
  <si>
    <t>Přesun hmot pro kotelny, výšky do 6 m</t>
  </si>
  <si>
    <t>Příplatek zvětšený přesun, kotelny do 500 m</t>
  </si>
  <si>
    <t>Přesun hmot pro strojovny, výšky do 6 m</t>
  </si>
  <si>
    <t>Příplatek zvětšený přesun, strojovny do 500 m</t>
  </si>
  <si>
    <t>Přesun hmot pro rozvody potrubí, výšky do 6 m</t>
  </si>
  <si>
    <t>Příplatek zvětš. přesun, rozvody potrubí do 500 m</t>
  </si>
  <si>
    <t>Přesun hmot pro armatury, výšky do 6 m</t>
  </si>
  <si>
    <t>Příplatek zvětšený přesun, armatury do 500 m</t>
  </si>
  <si>
    <t>Elektro + MaR</t>
  </si>
  <si>
    <t>Přesun hmot elektro + MaR, výšky do 6 m</t>
  </si>
  <si>
    <t>Přesun hmot elektro + MaR. konstr. do 100 m</t>
  </si>
  <si>
    <t>Šrotové hospodářství</t>
  </si>
  <si>
    <t>Nakladání šrotu na dopr. prostř., manipulace</t>
  </si>
  <si>
    <t>Odvoz šrotu do sběru</t>
  </si>
  <si>
    <t>Výtěžek z prodeje šrotu (záporná položka rozpočtu)</t>
  </si>
  <si>
    <t>Uvádění zařízení do provozu, seřízení</t>
  </si>
  <si>
    <t>Uvední kotle do 50 kW do provozu, seřízení, vystavení protokolu</t>
  </si>
  <si>
    <t>Uvedení do provozu a seřízení regulace vytápění</t>
  </si>
  <si>
    <t>Zaučení obsluhy</t>
  </si>
  <si>
    <t>Návod k obsluze otopného systému</t>
  </si>
  <si>
    <t>Elektromontáže</t>
  </si>
  <si>
    <t>Osazení jednotky řízení vytápění do kotle a napojení</t>
  </si>
  <si>
    <t>Dopojení koncového zařízení mimo zásuvky a světla (čerp., čidlo MaR, mix aj.)</t>
  </si>
  <si>
    <t>Zásuvka s proudovým chráničem 30 mA průběžná</t>
  </si>
  <si>
    <t>Zásuvka domovní v krabici- nástěnná vč. krabice</t>
  </si>
  <si>
    <t>Světlo nouzového osvětlení, samonabíjecí, záloha 60 minut</t>
  </si>
  <si>
    <t>Dopojení nozových světel na stávající elektroinstalaci</t>
  </si>
  <si>
    <t>Kabel CYKY-m 750 V 3 x 2,5 mm2 pevně uložený (mat. vč. uložení)</t>
  </si>
  <si>
    <t>Kabel CYKY-m 3 x 1,5 mm2 pevně uložený (mat. vč. uložení)</t>
  </si>
  <si>
    <t>Kabel  JYTY 2 x 1 mm2 pevně uložený (mat.vč uložení)</t>
  </si>
  <si>
    <t>Autonomní detektor CO Honeywell XC100D-CS</t>
  </si>
  <si>
    <t>Autonomní detektor kouře - stropní</t>
  </si>
  <si>
    <t>Svítidlo LED dvouzářivkové 120 cm - přemístění</t>
  </si>
  <si>
    <t>Vodič H07V-U (CY) 6 mm2 žlutozelený, uložený pevně</t>
  </si>
  <si>
    <t>Štítek označovací na kabel</t>
  </si>
  <si>
    <t>Odtahy spalin</t>
  </si>
  <si>
    <t>Kouřovod pr.152 smalt</t>
  </si>
  <si>
    <t>Koleno kouřovodu pr. 152</t>
  </si>
  <si>
    <t>Koleno kouřovodu pr.152 s čistícím otvorem</t>
  </si>
  <si>
    <t>Úprava napojení na komínové těleso - sopouch</t>
  </si>
  <si>
    <t>Regulátor tahu komína</t>
  </si>
  <si>
    <t>Revize a zkoušky</t>
  </si>
  <si>
    <t>Certifikát posouzení sestavy tlakového zařízení notifik. osobou</t>
  </si>
  <si>
    <t>Revize TNS (tlakové nádoby stabilní - expanzní nádoby)</t>
  </si>
  <si>
    <t>Revize kouřových cest</t>
  </si>
  <si>
    <t>Revize elektro zařízení</t>
  </si>
  <si>
    <t>Zkoušky systému s vystavením protokolu</t>
  </si>
  <si>
    <t>Odpadové hospodářství</t>
  </si>
  <si>
    <t>Svislá doprava suti na výšku do 3,5 m</t>
  </si>
  <si>
    <t>Vodorovná doprava vybouraných hmot a suti do 50 m</t>
  </si>
  <si>
    <t>Kontejner 1,5 tuny, suť aj. bez nebezp.odpadu, odvoz a likvidace</t>
  </si>
  <si>
    <t>1*1,5</t>
  </si>
  <si>
    <t>Doba výstavby:</t>
  </si>
  <si>
    <t>Začátek výstavby:</t>
  </si>
  <si>
    <t>Konec výstavby:</t>
  </si>
  <si>
    <t>Zpracováno dne:</t>
  </si>
  <si>
    <t>22 dní</t>
  </si>
  <si>
    <t>24.06.2022</t>
  </si>
  <si>
    <t>15.10.2021</t>
  </si>
  <si>
    <t>Objednatel:</t>
  </si>
  <si>
    <t>Projektant:</t>
  </si>
  <si>
    <t>Zhotovitel:</t>
  </si>
  <si>
    <t>Zpracoval:</t>
  </si>
  <si>
    <t>Stěny, strop</t>
  </si>
  <si>
    <t>jeden odvoz 1,5 t kontejneru</t>
  </si>
  <si>
    <t>Obec Doubrava, Doubrava 599, 735 33 Doubrava</t>
  </si>
  <si>
    <t>Ing. Stanislav Wilczek</t>
  </si>
  <si>
    <t> </t>
  </si>
  <si>
    <t>MJ</t>
  </si>
  <si>
    <t>hod</t>
  </si>
  <si>
    <t>kus</t>
  </si>
  <si>
    <t>m2</t>
  </si>
  <si>
    <t>m</t>
  </si>
  <si>
    <t>soubor</t>
  </si>
  <si>
    <t>ks</t>
  </si>
  <si>
    <t>m3</t>
  </si>
  <si>
    <t>t</t>
  </si>
  <si>
    <t>h</t>
  </si>
  <si>
    <t>km</t>
  </si>
  <si>
    <t>Množství</t>
  </si>
  <si>
    <t>Cena/MJ</t>
  </si>
  <si>
    <t>(Kč)</t>
  </si>
  <si>
    <t>Náklady (Kč)</t>
  </si>
  <si>
    <t>Dodávka</t>
  </si>
  <si>
    <t>Celkem:</t>
  </si>
  <si>
    <t>Montáž</t>
  </si>
  <si>
    <t>Celkem</t>
  </si>
  <si>
    <t>Hmotnost (t)</t>
  </si>
  <si>
    <t>Jednot.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</si>
  <si>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</si>
  <si>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</si>
  <si>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</si>
  <si>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</si>
  <si>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</si>
  <si>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</si>
  <si>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</si>
  <si>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</si>
  <si>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</si>
  <si>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11VD_</t>
  </si>
  <si>
    <t>31_</t>
  </si>
  <si>
    <t>61_</t>
  </si>
  <si>
    <t>63_</t>
  </si>
  <si>
    <t>713_</t>
  </si>
  <si>
    <t>721_</t>
  </si>
  <si>
    <t>722_</t>
  </si>
  <si>
    <t>731_</t>
  </si>
  <si>
    <t>732_</t>
  </si>
  <si>
    <t>733_</t>
  </si>
  <si>
    <t>734_</t>
  </si>
  <si>
    <t>767_</t>
  </si>
  <si>
    <t>783_</t>
  </si>
  <si>
    <t>784_</t>
  </si>
  <si>
    <t>795_</t>
  </si>
  <si>
    <t>96_</t>
  </si>
  <si>
    <t>97_</t>
  </si>
  <si>
    <t>H13_</t>
  </si>
  <si>
    <t>H713_</t>
  </si>
  <si>
    <t>H731_</t>
  </si>
  <si>
    <t>H732_</t>
  </si>
  <si>
    <t>H733_</t>
  </si>
  <si>
    <t>H734_</t>
  </si>
  <si>
    <t>H764_</t>
  </si>
  <si>
    <t>H77VD_</t>
  </si>
  <si>
    <t>M06VD_</t>
  </si>
  <si>
    <t>M21_</t>
  </si>
  <si>
    <t>M23_</t>
  </si>
  <si>
    <t>M72VD_</t>
  </si>
  <si>
    <t>S_</t>
  </si>
  <si>
    <t>1_</t>
  </si>
  <si>
    <t>3_</t>
  </si>
  <si>
    <t>6_</t>
  </si>
  <si>
    <t>71_</t>
  </si>
  <si>
    <t>72_</t>
  </si>
  <si>
    <t>73_</t>
  </si>
  <si>
    <t>76_</t>
  </si>
  <si>
    <t>78_</t>
  </si>
  <si>
    <t>79_</t>
  </si>
  <si>
    <t>9_</t>
  </si>
  <si>
    <t>_</t>
  </si>
  <si>
    <t>MAT</t>
  </si>
  <si>
    <t>WORK</t>
  </si>
  <si>
    <t>CELK</t>
  </si>
  <si>
    <t>ISWORK</t>
  </si>
  <si>
    <t>P</t>
  </si>
  <si>
    <t>M</t>
  </si>
  <si>
    <t>GROUPCODE</t>
  </si>
  <si>
    <t>Slepý stavební rozpočet - rekapitulace</t>
  </si>
  <si>
    <t>Náklady (Kč) - dodávka</t>
  </si>
  <si>
    <t>Náklady (Kč) - Montáž</t>
  </si>
  <si>
    <t>Náklady (Kč) - celkem</t>
  </si>
  <si>
    <t>Celková hmotnost (t)</t>
  </si>
  <si>
    <t>T</t>
  </si>
  <si>
    <t>Soupis stavebních prací dodávek a služeb s výkazem výměr</t>
  </si>
  <si>
    <t>Potřebné množství</t>
  </si>
  <si>
    <t>Rozpočtové náklady v Kč</t>
  </si>
  <si>
    <t>A</t>
  </si>
  <si>
    <t>HSV</t>
  </si>
  <si>
    <t>PSV</t>
  </si>
  <si>
    <t>"M"</t>
  </si>
  <si>
    <t>Ostatní materiál</t>
  </si>
  <si>
    <t>Přesun hmot a sutí</t>
  </si>
  <si>
    <t>ZRN celkem</t>
  </si>
  <si>
    <t>Základ 0%</t>
  </si>
  <si>
    <t>Základ 15%</t>
  </si>
  <si>
    <t>Základ 21%</t>
  </si>
  <si>
    <t>Projektant</t>
  </si>
  <si>
    <t>Datum, razítko a podpis</t>
  </si>
  <si>
    <t>Základní rozpočtové náklady</t>
  </si>
  <si>
    <t>Dodávky</t>
  </si>
  <si>
    <t>Krycí list slepého rozpočtu</t>
  </si>
  <si>
    <t>B</t>
  </si>
  <si>
    <t>Práce přesčas</t>
  </si>
  <si>
    <t>Bez pevné podl.</t>
  </si>
  <si>
    <t>Kulturní památka</t>
  </si>
  <si>
    <t>DN celkem</t>
  </si>
  <si>
    <t>DN celkem z obj.</t>
  </si>
  <si>
    <t>DPH 15%</t>
  </si>
  <si>
    <t>DPH 21%</t>
  </si>
  <si>
    <t>Objednatel</t>
  </si>
  <si>
    <t>Doplňkové náklady</t>
  </si>
  <si>
    <t>C</t>
  </si>
  <si>
    <t>Zařízení staveniště</t>
  </si>
  <si>
    <t>Mimostav. doprava</t>
  </si>
  <si>
    <t>Územní vlivy</t>
  </si>
  <si>
    <t>Provozní vlivy</t>
  </si>
  <si>
    <t>Ostatní</t>
  </si>
  <si>
    <t>NUS z rozpočtu</t>
  </si>
  <si>
    <t>NUS celkem</t>
  </si>
  <si>
    <t>NUS celkem z obj.</t>
  </si>
  <si>
    <t>ORN celkem</t>
  </si>
  <si>
    <t>ORN celkem z obj.</t>
  </si>
  <si>
    <t>Celkem bez DPH</t>
  </si>
  <si>
    <t>Celkem včetně DPH</t>
  </si>
  <si>
    <t>Zhotovitel</t>
  </si>
  <si>
    <t>IČ/DIČ:</t>
  </si>
  <si>
    <t>Položek:</t>
  </si>
  <si>
    <t>Datum:</t>
  </si>
  <si>
    <t>Náklady na umístění stavby (NUS)</t>
  </si>
  <si>
    <t>Vedlejší rozpočtové náklady VRN</t>
  </si>
  <si>
    <t>Doplňkové náklady DN</t>
  </si>
  <si>
    <t>Celkem DN</t>
  </si>
  <si>
    <t>Celkem NUS</t>
  </si>
  <si>
    <t>Celkem VRN</t>
  </si>
  <si>
    <t>Ostatní rozpočtové náklady ORN</t>
  </si>
  <si>
    <t>Ostatní rozpočtové náklady (ORN)</t>
  </si>
  <si>
    <t>Celkem ORN</t>
  </si>
  <si>
    <t>Vedlejší a ostatní rozpočtové náklady</t>
  </si>
  <si>
    <t>Kč</t>
  </si>
  <si>
    <t>%</t>
  </si>
  <si>
    <t>Základna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</si>
</sst>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0"/>
      <color indexed="8"/>
      <name val="Arial"/>
      <charset val="238"/>
    </font>
    <font>
      <sz val="18"/>
      <color indexed="8"/>
      <name val="Arial"/>
      <charset val="238"/>
    </font>
    <font>
      <b/>
      <sz val="10"/>
      <color indexed="8"/>
      <name val="Arial"/>
      <charset val="238"/>
    </font>
    <font>
      <sz val="10"/>
      <color indexed="56"/>
      <name val="Arial"/>
      <charset val="238"/>
    </font>
    <font>
      <sz val="10"/>
      <color indexed="61"/>
      <name val="Arial"/>
      <charset val="238"/>
    </font>
    <font>
      <sz val="10"/>
      <color indexed="62"/>
      <name val="Arial"/>
      <charset val="238"/>
    </font>
    <font>
      <i/>
      <sz val="8"/>
      <color indexed="8"/>
      <name val="Arial"/>
      <charset val="238"/>
    </font>
    <font>
      <b/>
      <sz val="10"/>
      <color indexed="56"/>
      <name val="Arial"/>
      <charset val="238"/>
    </font>
    <font>
      <i/>
      <sz val="10"/>
      <color indexed="63"/>
      <name val="Arial"/>
      <charset val="238"/>
    </font>
    <font>
      <i/>
      <sz val="10"/>
      <color indexed="50"/>
      <name val="Arial"/>
      <charset val="238"/>
    </font>
    <font>
      <i/>
      <sz val="9"/>
      <color indexed="63"/>
      <name val="Arial"/>
      <charset val="238"/>
    </font>
    <font>
      <i/>
      <sz val="9"/>
      <color indexed="50"/>
      <name val="Arial"/>
      <charset val="238"/>
    </font>
    <font>
      <i/>
      <sz val="9"/>
      <color indexed="61"/>
      <name val="Arial"/>
      <charset val="238"/>
    </font>
    <font>
      <i/>
      <sz val="9"/>
      <color indexed="62"/>
      <name val="Arial"/>
      <charset val="238"/>
    </font>
    <font>
      <b/>
      <sz val="18"/>
      <color indexed="8"/>
      <name val="Arial"/>
      <charset val="238"/>
    </font>
    <font>
      <b/>
      <sz val="20"/>
      <color indexed="8"/>
      <name val="Arial"/>
      <charset val="238"/>
    </font>
    <font>
      <b/>
      <sz val="12"/>
      <color indexed="8"/>
      <name val="Arial"/>
      <charset val="238"/>
    </font>
    <font>
      <sz val="12"/>
      <color indexed="8"/>
      <name val="Arial"/>
      <charset val="238"/>
    </font>
    <font>
      <b/>
      <sz val="11"/>
      <color indexed="8"/>
      <name val="Arial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57"/>
        <bgColor indexed="9"/>
      </patternFill>
    </fill>
    <fill>
      <patternFill patternType="solid">
        <fgColor indexed="22"/>
        <bgColor indexed="9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8">
    <xf numFmtId="0" fontId="1" fillId="0" borderId="0" xfId="0" applyFont="1" applyAlignment="1">
      <alignment vertical="center"/>
    </xf>
    <xf numFmtId="49" fontId="3" fillId="0" borderId="5" xfId="0" applyNumberFormat="1" applyFont="1" applyFill="1" applyBorder="1" applyAlignment="1" applyProtection="1">
      <alignment horizontal="left" vertical="center"/>
    </xf>
    <xf numFmtId="49" fontId="1" fillId="0" borderId="6" xfId="0" applyNumberFormat="1" applyFont="1" applyFill="1" applyBorder="1" applyAlignment="1" applyProtection="1">
      <alignment horizontal="left" vertical="center"/>
    </xf>
    <xf numFmtId="49" fontId="4" fillId="2" borderId="7" xfId="0" applyNumberFormat="1" applyFont="1" applyFill="1" applyBorder="1" applyAlignment="1" applyProtection="1">
      <alignment horizontal="left" vertical="center"/>
    </xf>
    <xf numFmtId="49" fontId="5" fillId="0" borderId="3" xfId="0" applyNumberFormat="1" applyFont="1" applyFill="1" applyBorder="1" applyAlignment="1" applyProtection="1">
      <alignment horizontal="left" vertical="center"/>
    </xf>
    <xf numFmtId="49" fontId="4" fillId="2" borderId="3" xfId="0" applyNumberFormat="1" applyFont="1" applyFill="1" applyBorder="1" applyAlignment="1" applyProtection="1">
      <alignment horizontal="left" vertical="center"/>
    </xf>
    <xf numFmtId="0" fontId="1" fillId="0" borderId="3" xfId="0" applyNumberFormat="1" applyFont="1" applyFill="1" applyBorder="1" applyAlignment="1" applyProtection="1">
      <alignment vertical="center"/>
    </xf>
    <xf numFmtId="49" fontId="6" fillId="0" borderId="3" xfId="0" applyNumberFormat="1" applyFont="1" applyFill="1" applyBorder="1" applyAlignment="1" applyProtection="1">
      <alignment horizontal="left" vertical="center"/>
    </xf>
    <xf numFmtId="0" fontId="1" fillId="0" borderId="8" xfId="0" applyNumberFormat="1" applyFont="1" applyFill="1" applyBorder="1" applyAlignment="1" applyProtection="1">
      <alignment vertical="center"/>
    </xf>
    <xf numFmtId="0" fontId="1" fillId="0" borderId="9" xfId="0" applyNumberFormat="1" applyFont="1" applyFill="1" applyBorder="1" applyAlignment="1" applyProtection="1">
      <alignment vertical="center"/>
    </xf>
    <xf numFmtId="49" fontId="7" fillId="0" borderId="0" xfId="0" applyNumberFormat="1" applyFont="1" applyFill="1" applyBorder="1" applyAlignment="1" applyProtection="1">
      <alignment horizontal="left" vertical="center"/>
    </xf>
    <xf numFmtId="49" fontId="3" fillId="0" borderId="11" xfId="0" applyNumberFormat="1" applyFont="1" applyFill="1" applyBorder="1" applyAlignment="1" applyProtection="1">
      <alignment horizontal="left" vertical="center"/>
    </xf>
    <xf numFmtId="49" fontId="1" fillId="0" borderId="12" xfId="0" applyNumberFormat="1" applyFont="1" applyFill="1" applyBorder="1" applyAlignment="1" applyProtection="1">
      <alignment horizontal="left" vertical="center"/>
    </xf>
    <xf numFmtId="49" fontId="8" fillId="2" borderId="13" xfId="0" applyNumberFormat="1" applyFont="1" applyFill="1" applyBorder="1" applyAlignment="1" applyProtection="1">
      <alignment horizontal="left" vertical="center"/>
    </xf>
    <xf numFmtId="49" fontId="5" fillId="0" borderId="0" xfId="0" applyNumberFormat="1" applyFont="1" applyFill="1" applyBorder="1" applyAlignment="1" applyProtection="1">
      <alignment horizontal="left" vertical="center"/>
    </xf>
    <xf numFmtId="49" fontId="8" fillId="2" borderId="0" xfId="0" applyNumberFormat="1" applyFont="1" applyFill="1" applyBorder="1" applyAlignment="1" applyProtection="1">
      <alignment horizontal="left" vertical="center"/>
    </xf>
    <xf numFmtId="49" fontId="6" fillId="0" borderId="0" xfId="0" applyNumberFormat="1" applyFont="1" applyFill="1" applyBorder="1" applyAlignment="1" applyProtection="1">
      <alignment horizontal="left" vertical="center"/>
    </xf>
    <xf numFmtId="0" fontId="1" fillId="0" borderId="1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9" fillId="0" borderId="1" xfId="0" applyNumberFormat="1" applyFont="1" applyFill="1" applyBorder="1" applyAlignment="1" applyProtection="1">
      <alignment horizontal="left" vertical="center"/>
    </xf>
    <xf numFmtId="49" fontId="1" fillId="0" borderId="0" xfId="0" applyNumberFormat="1" applyFont="1" applyFill="1" applyBorder="1" applyAlignment="1" applyProtection="1">
      <alignment horizontal="left" vertical="center"/>
    </xf>
    <xf numFmtId="49" fontId="10" fillId="0" borderId="0" xfId="0" applyNumberFormat="1" applyFont="1" applyFill="1" applyBorder="1" applyAlignment="1" applyProtection="1">
      <alignment horizontal="left" vertical="center"/>
    </xf>
    <xf numFmtId="49" fontId="10" fillId="0" borderId="1" xfId="0" applyNumberFormat="1" applyFont="1" applyFill="1" applyBorder="1" applyAlignment="1" applyProtection="1">
      <alignment horizontal="left" vertical="center"/>
    </xf>
    <xf numFmtId="49" fontId="4" fillId="2" borderId="13" xfId="0" applyNumberFormat="1" applyFont="1" applyFill="1" applyBorder="1" applyAlignment="1" applyProtection="1">
      <alignment horizontal="left" vertical="center"/>
    </xf>
    <xf numFmtId="49" fontId="4" fillId="2" borderId="0" xfId="0" applyNumberFormat="1" applyFont="1" applyFill="1" applyBorder="1" applyAlignment="1" applyProtection="1">
      <alignment horizontal="left" vertical="center"/>
    </xf>
    <xf numFmtId="49" fontId="3" fillId="0" borderId="11" xfId="0" applyNumberFormat="1" applyFont="1" applyFill="1" applyBorder="1" applyAlignment="1" applyProtection="1">
      <alignment horizontal="center" vertical="center"/>
    </xf>
    <xf numFmtId="4" fontId="5" fillId="0" borderId="0" xfId="0" applyNumberFormat="1" applyFont="1" applyFill="1" applyBorder="1" applyAlignment="1" applyProtection="1">
      <alignment horizontal="right" vertical="center"/>
    </xf>
    <xf numFmtId="4" fontId="9" fillId="0" borderId="0" xfId="0" applyNumberFormat="1" applyFont="1" applyFill="1" applyBorder="1" applyAlignment="1" applyProtection="1">
      <alignment horizontal="right" vertical="center"/>
    </xf>
    <xf numFmtId="4" fontId="6" fillId="0" borderId="0" xfId="0" applyNumberFormat="1" applyFont="1" applyFill="1" applyBorder="1" applyAlignment="1" applyProtection="1">
      <alignment horizontal="right" vertical="center"/>
    </xf>
    <xf numFmtId="4" fontId="9" fillId="0" borderId="1" xfId="0" applyNumberFormat="1" applyFont="1" applyFill="1" applyBorder="1" applyAlignment="1" applyProtection="1">
      <alignment horizontal="right" vertical="center"/>
    </xf>
    <xf numFmtId="49" fontId="3" fillId="0" borderId="16" xfId="0" applyNumberFormat="1" applyFont="1" applyFill="1" applyBorder="1" applyAlignment="1" applyProtection="1">
      <alignment horizontal="center" vertical="center"/>
    </xf>
    <xf numFmtId="49" fontId="3" fillId="0" borderId="17" xfId="0" applyNumberFormat="1" applyFont="1" applyFill="1" applyBorder="1" applyAlignment="1" applyProtection="1">
      <alignment horizontal="center" vertical="center"/>
    </xf>
    <xf numFmtId="49" fontId="3" fillId="0" borderId="19" xfId="0" applyNumberFormat="1" applyFont="1" applyFill="1" applyBorder="1" applyAlignment="1" applyProtection="1">
      <alignment horizontal="center" vertical="center"/>
    </xf>
    <xf numFmtId="49" fontId="3" fillId="0" borderId="9" xfId="0" applyNumberFormat="1" applyFont="1" applyFill="1" applyBorder="1" applyAlignment="1" applyProtection="1">
      <alignment horizontal="left" vertical="center"/>
    </xf>
    <xf numFmtId="49" fontId="3" fillId="0" borderId="21" xfId="0" applyNumberFormat="1" applyFont="1" applyFill="1" applyBorder="1" applyAlignment="1" applyProtection="1">
      <alignment horizontal="center" vertical="center"/>
    </xf>
    <xf numFmtId="49" fontId="3" fillId="0" borderId="23" xfId="0" applyNumberFormat="1" applyFont="1" applyFill="1" applyBorder="1" applyAlignment="1" applyProtection="1">
      <alignment horizontal="center" vertical="center"/>
    </xf>
    <xf numFmtId="49" fontId="8" fillId="2" borderId="13" xfId="0" applyNumberFormat="1" applyFont="1" applyFill="1" applyBorder="1" applyAlignment="1" applyProtection="1">
      <alignment horizontal="right" vertical="center"/>
    </xf>
    <xf numFmtId="49" fontId="8" fillId="2" borderId="0" xfId="0" applyNumberFormat="1" applyFont="1" applyFill="1" applyBorder="1" applyAlignment="1" applyProtection="1">
      <alignment horizontal="right" vertical="center"/>
    </xf>
    <xf numFmtId="0" fontId="1" fillId="0" borderId="25" xfId="0" applyNumberFormat="1" applyFont="1" applyFill="1" applyBorder="1" applyAlignment="1" applyProtection="1">
      <alignment vertical="center"/>
    </xf>
    <xf numFmtId="0" fontId="1" fillId="0" borderId="27" xfId="0" applyNumberFormat="1" applyFont="1" applyFill="1" applyBorder="1" applyAlignment="1" applyProtection="1">
      <alignment vertical="center"/>
    </xf>
    <xf numFmtId="4" fontId="1" fillId="0" borderId="0" xfId="0" applyNumberFormat="1" applyFont="1" applyFill="1" applyBorder="1" applyAlignment="1" applyProtection="1">
      <alignment horizontal="right" vertical="center"/>
    </xf>
    <xf numFmtId="49" fontId="5" fillId="0" borderId="0" xfId="0" applyNumberFormat="1" applyFont="1" applyFill="1" applyBorder="1" applyAlignment="1" applyProtection="1">
      <alignment horizontal="right" vertical="center"/>
    </xf>
    <xf numFmtId="49" fontId="6" fillId="0" borderId="0" xfId="0" applyNumberFormat="1" applyFont="1" applyFill="1" applyBorder="1" applyAlignment="1" applyProtection="1">
      <alignment horizontal="right" vertical="center"/>
    </xf>
    <xf numFmtId="49" fontId="1" fillId="0" borderId="0" xfId="0" applyNumberFormat="1" applyFont="1" applyFill="1" applyBorder="1" applyAlignment="1" applyProtection="1">
      <alignment horizontal="right" vertical="center"/>
    </xf>
    <xf numFmtId="49" fontId="3" fillId="0" borderId="0" xfId="0" applyNumberFormat="1" applyFont="1" applyFill="1" applyBorder="1" applyAlignment="1" applyProtection="1">
      <alignment horizontal="right" vertical="center"/>
    </xf>
    <xf numFmtId="4" fontId="8" fillId="2" borderId="13" xfId="0" applyNumberFormat="1" applyFont="1" applyFill="1" applyBorder="1" applyAlignment="1" applyProtection="1">
      <alignment horizontal="right" vertical="center"/>
    </xf>
    <xf numFmtId="4" fontId="8" fillId="2" borderId="0" xfId="0" applyNumberFormat="1" applyFont="1" applyFill="1" applyBorder="1" applyAlignment="1" applyProtection="1">
      <alignment horizontal="right" vertical="center"/>
    </xf>
    <xf numFmtId="4" fontId="3" fillId="0" borderId="9" xfId="0" applyNumberFormat="1" applyFont="1" applyFill="1" applyBorder="1" applyAlignment="1" applyProtection="1">
      <alignment horizontal="right" vertical="center"/>
    </xf>
    <xf numFmtId="4" fontId="8" fillId="2" borderId="14" xfId="0" applyNumberFormat="1" applyFont="1" applyFill="1" applyBorder="1" applyAlignment="1" applyProtection="1">
      <alignment horizontal="right" vertical="center"/>
    </xf>
    <xf numFmtId="4" fontId="5" fillId="0" borderId="25" xfId="0" applyNumberFormat="1" applyFont="1" applyFill="1" applyBorder="1" applyAlignment="1" applyProtection="1">
      <alignment horizontal="right" vertical="center"/>
    </xf>
    <xf numFmtId="4" fontId="8" fillId="2" borderId="25" xfId="0" applyNumberFormat="1" applyFont="1" applyFill="1" applyBorder="1" applyAlignment="1" applyProtection="1">
      <alignment horizontal="right" vertical="center"/>
    </xf>
    <xf numFmtId="4" fontId="6" fillId="0" borderId="25" xfId="0" applyNumberFormat="1" applyFont="1" applyFill="1" applyBorder="1" applyAlignment="1" applyProtection="1">
      <alignment horizontal="right" vertical="center"/>
    </xf>
    <xf numFmtId="49" fontId="3" fillId="0" borderId="30" xfId="0" applyNumberFormat="1" applyFont="1" applyFill="1" applyBorder="1" applyAlignment="1" applyProtection="1">
      <alignment horizontal="left" vertical="center"/>
    </xf>
    <xf numFmtId="49" fontId="1" fillId="0" borderId="13" xfId="0" applyNumberFormat="1" applyFont="1" applyFill="1" applyBorder="1" applyAlignment="1" applyProtection="1">
      <alignment horizontal="left" vertical="center"/>
    </xf>
    <xf numFmtId="49" fontId="1" fillId="0" borderId="1" xfId="0" applyNumberFormat="1" applyFont="1" applyFill="1" applyBorder="1" applyAlignment="1" applyProtection="1">
      <alignment horizontal="left" vertical="center"/>
    </xf>
    <xf numFmtId="49" fontId="3" fillId="0" borderId="30" xfId="0" applyNumberFormat="1" applyFont="1" applyFill="1" applyBorder="1" applyAlignment="1" applyProtection="1">
      <alignment horizontal="center" vertical="center"/>
    </xf>
    <xf numFmtId="49" fontId="3" fillId="0" borderId="31" xfId="0" applyNumberFormat="1" applyFont="1" applyFill="1" applyBorder="1" applyAlignment="1" applyProtection="1">
      <alignment horizontal="center" vertical="center"/>
    </xf>
    <xf numFmtId="0" fontId="1" fillId="0" borderId="32" xfId="0" applyNumberFormat="1" applyFont="1" applyFill="1" applyBorder="1" applyAlignment="1" applyProtection="1">
      <alignment vertical="center"/>
    </xf>
    <xf numFmtId="4" fontId="1" fillId="0" borderId="3" xfId="0" applyNumberFormat="1" applyFont="1" applyFill="1" applyBorder="1" applyAlignment="1" applyProtection="1">
      <alignment horizontal="right" vertical="center"/>
    </xf>
    <xf numFmtId="4" fontId="1" fillId="0" borderId="13" xfId="0" applyNumberFormat="1" applyFont="1" applyFill="1" applyBorder="1" applyAlignment="1" applyProtection="1">
      <alignment horizontal="right" vertical="center"/>
    </xf>
    <xf numFmtId="4" fontId="1" fillId="0" borderId="1" xfId="0" applyNumberFormat="1" applyFont="1" applyFill="1" applyBorder="1" applyAlignment="1" applyProtection="1">
      <alignment horizontal="right" vertical="center"/>
    </xf>
    <xf numFmtId="4" fontId="1" fillId="0" borderId="14" xfId="0" applyNumberFormat="1" applyFont="1" applyFill="1" applyBorder="1" applyAlignment="1" applyProtection="1">
      <alignment horizontal="right" vertical="center"/>
    </xf>
    <xf numFmtId="4" fontId="1" fillId="0" borderId="25" xfId="0" applyNumberFormat="1" applyFont="1" applyFill="1" applyBorder="1" applyAlignment="1" applyProtection="1">
      <alignment horizontal="right" vertical="center"/>
    </xf>
    <xf numFmtId="4" fontId="1" fillId="0" borderId="27" xfId="0" applyNumberFormat="1" applyFont="1" applyFill="1" applyBorder="1" applyAlignment="1" applyProtection="1">
      <alignment horizontal="right" vertical="center"/>
    </xf>
    <xf numFmtId="49" fontId="3" fillId="0" borderId="33" xfId="0" applyNumberFormat="1" applyFont="1" applyFill="1" applyBorder="1" applyAlignment="1" applyProtection="1">
      <alignment horizontal="left" vertical="center"/>
    </xf>
    <xf numFmtId="49" fontId="8" fillId="2" borderId="7" xfId="0" applyNumberFormat="1" applyFont="1" applyFill="1" applyBorder="1" applyAlignment="1" applyProtection="1">
      <alignment horizontal="left" vertical="center"/>
    </xf>
    <xf numFmtId="49" fontId="8" fillId="2" borderId="3" xfId="0" applyNumberFormat="1" applyFont="1" applyFill="1" applyBorder="1" applyAlignment="1" applyProtection="1">
      <alignment horizontal="left" vertical="center"/>
    </xf>
    <xf numFmtId="49" fontId="5" fillId="0" borderId="8" xfId="0" applyNumberFormat="1" applyFont="1" applyFill="1" applyBorder="1" applyAlignment="1" applyProtection="1">
      <alignment horizontal="left"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49" fontId="11" fillId="0" borderId="0" xfId="0" applyNumberFormat="1" applyFont="1" applyFill="1" applyBorder="1" applyAlignment="1" applyProtection="1">
      <alignment horizontal="left" vertical="center"/>
    </xf>
    <xf numFmtId="49" fontId="11" fillId="0" borderId="1" xfId="0" applyNumberFormat="1" applyFont="1" applyFill="1" applyBorder="1" applyAlignment="1" applyProtection="1">
      <alignment horizontal="left" vertical="center"/>
    </xf>
    <xf numFmtId="49" fontId="3" fillId="0" borderId="30" xfId="0" applyNumberFormat="1" applyFont="1" applyFill="1" applyBorder="1" applyAlignment="1" applyProtection="1">
      <alignment horizontal="right" vertical="center"/>
    </xf>
    <xf numFmtId="4" fontId="13" fillId="0" borderId="0" xfId="0" applyNumberFormat="1" applyFont="1" applyFill="1" applyBorder="1" applyAlignment="1" applyProtection="1">
      <alignment horizontal="right" vertical="center"/>
    </xf>
    <xf numFmtId="4" fontId="14" fillId="0" borderId="0" xfId="0" applyNumberFormat="1" applyFont="1" applyFill="1" applyBorder="1" applyAlignment="1" applyProtection="1">
      <alignment horizontal="right" vertical="center"/>
    </xf>
    <xf numFmtId="4" fontId="13" fillId="0" borderId="1" xfId="0" applyNumberFormat="1" applyFont="1" applyFill="1" applyBorder="1" applyAlignment="1" applyProtection="1">
      <alignment horizontal="right" vertical="center"/>
    </xf>
    <xf numFmtId="49" fontId="3" fillId="0" borderId="31" xfId="0" applyNumberFormat="1" applyFont="1" applyFill="1" applyBorder="1" applyAlignment="1" applyProtection="1">
      <alignment horizontal="left" vertical="center"/>
    </xf>
    <xf numFmtId="49" fontId="8" fillId="2" borderId="14" xfId="0" applyNumberFormat="1" applyFont="1" applyFill="1" applyBorder="1" applyAlignment="1" applyProtection="1">
      <alignment horizontal="right" vertical="center"/>
    </xf>
    <xf numFmtId="49" fontId="8" fillId="2" borderId="25" xfId="0" applyNumberFormat="1" applyFont="1" applyFill="1" applyBorder="1" applyAlignment="1" applyProtection="1">
      <alignment horizontal="right" vertical="center"/>
    </xf>
    <xf numFmtId="49" fontId="5" fillId="0" borderId="25" xfId="0" applyNumberFormat="1" applyFont="1" applyFill="1" applyBorder="1" applyAlignment="1" applyProtection="1">
      <alignment horizontal="right" vertical="center"/>
    </xf>
    <xf numFmtId="49" fontId="6" fillId="0" borderId="25" xfId="0" applyNumberFormat="1" applyFont="1" applyFill="1" applyBorder="1" applyAlignment="1" applyProtection="1">
      <alignment horizontal="right" vertical="center"/>
    </xf>
    <xf numFmtId="49" fontId="5" fillId="0" borderId="27" xfId="0" applyNumberFormat="1" applyFont="1" applyFill="1" applyBorder="1" applyAlignment="1" applyProtection="1">
      <alignment horizontal="right" vertical="center"/>
    </xf>
    <xf numFmtId="49" fontId="16" fillId="3" borderId="36" xfId="0" applyNumberFormat="1" applyFont="1" applyFill="1" applyBorder="1" applyAlignment="1" applyProtection="1">
      <alignment horizontal="center" vertical="center"/>
    </xf>
    <xf numFmtId="49" fontId="17" fillId="0" borderId="37" xfId="0" applyNumberFormat="1" applyFont="1" applyFill="1" applyBorder="1" applyAlignment="1" applyProtection="1">
      <alignment horizontal="left" vertical="center"/>
    </xf>
    <xf numFmtId="49" fontId="17" fillId="0" borderId="38" xfId="0" applyNumberFormat="1" applyFont="1" applyFill="1" applyBorder="1" applyAlignment="1" applyProtection="1">
      <alignment horizontal="left" vertical="center"/>
    </xf>
    <xf numFmtId="0" fontId="1" fillId="0" borderId="40" xfId="0" applyNumberFormat="1" applyFont="1" applyFill="1" applyBorder="1" applyAlignment="1" applyProtection="1">
      <alignment vertical="center"/>
    </xf>
    <xf numFmtId="49" fontId="7" fillId="0" borderId="13" xfId="0" applyNumberFormat="1" applyFont="1" applyFill="1" applyBorder="1" applyAlignment="1" applyProtection="1">
      <alignment horizontal="left" vertical="center"/>
    </xf>
    <xf numFmtId="49" fontId="18" fillId="0" borderId="36" xfId="0" applyNumberFormat="1" applyFont="1" applyFill="1" applyBorder="1" applyAlignment="1" applyProtection="1">
      <alignment horizontal="left" vertical="center"/>
    </xf>
    <xf numFmtId="0" fontId="1" fillId="0" borderId="13" xfId="0" applyNumberFormat="1" applyFont="1" applyFill="1" applyBorder="1" applyAlignment="1" applyProtection="1">
      <alignment vertical="center"/>
    </xf>
    <xf numFmtId="0" fontId="1" fillId="0" borderId="24" xfId="0" applyNumberFormat="1" applyFont="1" applyFill="1" applyBorder="1" applyAlignment="1" applyProtection="1">
      <alignment vertical="center"/>
    </xf>
    <xf numFmtId="4" fontId="18" fillId="0" borderId="36" xfId="0" applyNumberFormat="1" applyFont="1" applyFill="1" applyBorder="1" applyAlignment="1" applyProtection="1">
      <alignment horizontal="right" vertical="center"/>
    </xf>
    <xf numFmtId="49" fontId="18" fillId="0" borderId="36" xfId="0" applyNumberFormat="1" applyFont="1" applyFill="1" applyBorder="1" applyAlignment="1" applyProtection="1">
      <alignment horizontal="right" vertical="center"/>
    </xf>
    <xf numFmtId="4" fontId="18" fillId="0" borderId="21" xfId="0" applyNumberFormat="1" applyFont="1" applyFill="1" applyBorder="1" applyAlignment="1" applyProtection="1">
      <alignment horizontal="right" vertical="center"/>
    </xf>
    <xf numFmtId="0" fontId="1" fillId="0" borderId="14" xfId="0" applyNumberFormat="1" applyFont="1" applyFill="1" applyBorder="1" applyAlignment="1" applyProtection="1">
      <alignment vertical="center"/>
    </xf>
    <xf numFmtId="4" fontId="17" fillId="3" borderId="43" xfId="0" applyNumberFormat="1" applyFont="1" applyFill="1" applyBorder="1" applyAlignment="1" applyProtection="1">
      <alignment horizontal="right" vertical="center"/>
    </xf>
    <xf numFmtId="0" fontId="1" fillId="0" borderId="48" xfId="0" applyNumberFormat="1" applyFont="1" applyFill="1" applyBorder="1" applyAlignment="1" applyProtection="1">
      <alignment vertical="center"/>
    </xf>
    <xf numFmtId="0" fontId="1" fillId="0" borderId="10" xfId="0" applyNumberFormat="1" applyFont="1" applyFill="1" applyBorder="1" applyAlignment="1" applyProtection="1">
      <alignment vertical="center"/>
    </xf>
    <xf numFmtId="49" fontId="3" fillId="0" borderId="51" xfId="0" applyNumberFormat="1" applyFont="1" applyFill="1" applyBorder="1" applyAlignment="1" applyProtection="1">
      <alignment horizontal="right" vertical="center"/>
    </xf>
    <xf numFmtId="4" fontId="1" fillId="0" borderId="36" xfId="0" applyNumberFormat="1" applyFont="1" applyFill="1" applyBorder="1" applyAlignment="1" applyProtection="1">
      <alignment horizontal="right" vertical="center"/>
    </xf>
    <xf numFmtId="4" fontId="1" fillId="0" borderId="21" xfId="0" applyNumberFormat="1" applyFont="1" applyFill="1" applyBorder="1" applyAlignment="1" applyProtection="1">
      <alignment horizontal="right" vertical="center"/>
    </xf>
    <xf numFmtId="49" fontId="3" fillId="0" borderId="52" xfId="0" applyNumberFormat="1" applyFont="1" applyFill="1" applyBorder="1" applyAlignment="1" applyProtection="1">
      <alignment horizontal="left" vertical="center"/>
    </xf>
    <xf numFmtId="49" fontId="1" fillId="0" borderId="36" xfId="0" applyNumberFormat="1" applyFont="1" applyFill="1" applyBorder="1" applyAlignment="1" applyProtection="1">
      <alignment horizontal="left" vertical="center"/>
    </xf>
    <xf numFmtId="49" fontId="1" fillId="0" borderId="21" xfId="0" applyNumberFormat="1" applyFont="1" applyFill="1" applyBorder="1" applyAlignment="1" applyProtection="1">
      <alignment horizontal="left" vertical="center"/>
    </xf>
    <xf numFmtId="49" fontId="3" fillId="0" borderId="52" xfId="0" applyNumberFormat="1" applyFont="1" applyFill="1" applyBorder="1" applyAlignment="1" applyProtection="1">
      <alignment horizontal="right" vertical="center"/>
    </xf>
    <xf numFmtId="4" fontId="3" fillId="0" borderId="52" xfId="0" applyNumberFormat="1" applyFont="1" applyFill="1" applyBorder="1" applyAlignment="1" applyProtection="1">
      <alignment horizontal="right" vertical="center"/>
    </xf>
    <xf numFmtId="0" fontId="1" fillId="0" borderId="1" xfId="0" applyNumberFormat="1" applyFont="1" applyFill="1" applyBorder="1" applyAlignment="1" applyProtection="1"/>
    <xf numFmtId="49" fontId="2" fillId="0" borderId="1" xfId="0" applyNumberFormat="1" applyFont="1" applyFill="1" applyBorder="1" applyAlignment="1" applyProtection="1">
      <alignment horizont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left" vertical="center" wrapText="1"/>
    </xf>
    <xf numFmtId="0" fontId="1" fillId="0" borderId="9" xfId="0" applyNumberFormat="1" applyFont="1" applyFill="1" applyBorder="1" applyAlignment="1" applyProtection="1">
      <alignment horizontal="left" vertical="center"/>
    </xf>
    <xf numFmtId="0" fontId="1" fillId="0" borderId="3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horizontal="left" vertical="center"/>
    </xf>
    <xf numFmtId="0" fontId="3" fillId="0" borderId="9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/>
    </xf>
    <xf numFmtId="49" fontId="1" fillId="0" borderId="9" xfId="0" applyNumberFormat="1" applyFont="1" applyFill="1" applyBorder="1" applyAlignment="1" applyProtection="1">
      <alignment horizontal="left" vertical="center"/>
    </xf>
    <xf numFmtId="0" fontId="1" fillId="0" borderId="9" xfId="0" applyNumberFormat="1" applyFont="1" applyFill="1" applyBorder="1" applyAlignment="1" applyProtection="1">
      <alignment horizontal="left" vertical="center" wrapText="1"/>
    </xf>
    <xf numFmtId="0" fontId="1" fillId="0" borderId="24" xfId="0" applyNumberFormat="1" applyFont="1" applyFill="1" applyBorder="1" applyAlignment="1" applyProtection="1">
      <alignment horizontal="left" vertical="center"/>
    </xf>
    <xf numFmtId="0" fontId="1" fillId="0" borderId="25" xfId="0" applyNumberFormat="1" applyFont="1" applyFill="1" applyBorder="1" applyAlignment="1" applyProtection="1">
      <alignment horizontal="left" vertical="center"/>
    </xf>
    <xf numFmtId="0" fontId="1" fillId="0" borderId="3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 applyProtection="1">
      <alignment horizontal="left" vertical="center" wrapText="1"/>
    </xf>
    <xf numFmtId="49" fontId="1" fillId="0" borderId="0" xfId="0" applyNumberFormat="1" applyFont="1" applyFill="1" applyBorder="1" applyAlignment="1" applyProtection="1">
      <alignment horizontal="left" vertical="center"/>
    </xf>
    <xf numFmtId="0" fontId="1" fillId="0" borderId="4" xfId="0" applyNumberFormat="1" applyFont="1" applyFill="1" applyBorder="1" applyAlignment="1" applyProtection="1">
      <alignment horizontal="left" vertical="center"/>
    </xf>
    <xf numFmtId="0" fontId="1" fillId="0" borderId="10" xfId="0" applyNumberFormat="1" applyFont="1" applyFill="1" applyBorder="1" applyAlignment="1" applyProtection="1">
      <alignment horizontal="left" vertical="center"/>
    </xf>
    <xf numFmtId="0" fontId="1" fillId="0" borderId="15" xfId="0" applyNumberFormat="1" applyFont="1" applyFill="1" applyBorder="1" applyAlignment="1" applyProtection="1">
      <alignment horizontal="left" vertical="center"/>
    </xf>
    <xf numFmtId="49" fontId="3" fillId="0" borderId="7" xfId="0" applyNumberFormat="1" applyFont="1" applyFill="1" applyBorder="1" applyAlignment="1" applyProtection="1">
      <alignment horizontal="left" vertical="center"/>
    </xf>
    <xf numFmtId="0" fontId="3" fillId="0" borderId="13" xfId="0" applyNumberFormat="1" applyFont="1" applyFill="1" applyBorder="1" applyAlignment="1" applyProtection="1">
      <alignment horizontal="left" vertical="center"/>
    </xf>
    <xf numFmtId="0" fontId="3" fillId="0" borderId="14" xfId="0" applyNumberFormat="1" applyFont="1" applyFill="1" applyBorder="1" applyAlignment="1" applyProtection="1">
      <alignment horizontal="left" vertical="center"/>
    </xf>
    <xf numFmtId="49" fontId="3" fillId="0" borderId="18" xfId="0" applyNumberFormat="1" applyFont="1" applyFill="1" applyBorder="1" applyAlignment="1" applyProtection="1">
      <alignment horizontal="center" vertical="center"/>
    </xf>
    <xf numFmtId="0" fontId="3" fillId="0" borderId="20" xfId="0" applyNumberFormat="1" applyFont="1" applyFill="1" applyBorder="1" applyAlignment="1" applyProtection="1">
      <alignment horizontal="center" vertical="center"/>
    </xf>
    <xf numFmtId="0" fontId="3" fillId="0" borderId="22" xfId="0" applyNumberFormat="1" applyFont="1" applyFill="1" applyBorder="1" applyAlignment="1" applyProtection="1">
      <alignment horizontal="center" vertical="center"/>
    </xf>
    <xf numFmtId="0" fontId="3" fillId="0" borderId="26" xfId="0" applyNumberFormat="1" applyFont="1" applyFill="1" applyBorder="1" applyAlignment="1" applyProtection="1">
      <alignment horizontal="center" vertical="center"/>
    </xf>
    <xf numFmtId="49" fontId="3" fillId="0" borderId="4" xfId="0" applyNumberFormat="1" applyFont="1" applyFill="1" applyBorder="1" applyAlignment="1" applyProtection="1">
      <alignment horizontal="left" vertical="center"/>
    </xf>
    <xf numFmtId="0" fontId="3" fillId="0" borderId="10" xfId="0" applyNumberFormat="1" applyFont="1" applyFill="1" applyBorder="1" applyAlignment="1" applyProtection="1">
      <alignment horizontal="left" vertical="center"/>
    </xf>
    <xf numFmtId="0" fontId="3" fillId="0" borderId="15" xfId="0" applyNumberFormat="1" applyFont="1" applyFill="1" applyBorder="1" applyAlignment="1" applyProtection="1">
      <alignment horizontal="left" vertical="center"/>
    </xf>
    <xf numFmtId="49" fontId="8" fillId="2" borderId="13" xfId="0" applyNumberFormat="1" applyFont="1" applyFill="1" applyBorder="1" applyAlignment="1" applyProtection="1">
      <alignment horizontal="left" vertical="center"/>
    </xf>
    <xf numFmtId="0" fontId="8" fillId="2" borderId="13" xfId="0" applyNumberFormat="1" applyFont="1" applyFill="1" applyBorder="1" applyAlignment="1" applyProtection="1">
      <alignment horizontal="left" vertical="center"/>
    </xf>
    <xf numFmtId="49" fontId="5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49" fontId="8" fillId="2" borderId="0" xfId="0" applyNumberFormat="1" applyFont="1" applyFill="1" applyBorder="1" applyAlignment="1" applyProtection="1">
      <alignment horizontal="left" vertical="center"/>
    </xf>
    <xf numFmtId="0" fontId="8" fillId="2" borderId="0" xfId="0" applyNumberFormat="1" applyFont="1" applyFill="1" applyBorder="1" applyAlignment="1" applyProtection="1">
      <alignment horizontal="left" vertical="center"/>
    </xf>
    <xf numFmtId="49" fontId="6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49" fontId="3" fillId="0" borderId="9" xfId="0" applyNumberFormat="1" applyFont="1" applyFill="1" applyBorder="1" applyAlignment="1" applyProtection="1">
      <alignment horizontal="left" vertical="center"/>
    </xf>
    <xf numFmtId="0" fontId="3" fillId="0" borderId="9" xfId="0" applyNumberFormat="1" applyFont="1" applyFill="1" applyBorder="1" applyAlignment="1" applyProtection="1">
      <alignment horizontal="left" vertical="center"/>
    </xf>
    <xf numFmtId="0" fontId="1" fillId="0" borderId="24" xfId="0" applyNumberFormat="1" applyFont="1" applyFill="1" applyBorder="1" applyAlignment="1" applyProtection="1">
      <alignment horizontal="left" vertical="center" wrapText="1"/>
    </xf>
    <xf numFmtId="0" fontId="1" fillId="0" borderId="25" xfId="0" applyNumberFormat="1" applyFont="1" applyFill="1" applyBorder="1" applyAlignment="1" applyProtection="1">
      <alignment horizontal="left" vertical="center" wrapText="1"/>
    </xf>
    <xf numFmtId="49" fontId="3" fillId="0" borderId="28" xfId="0" applyNumberFormat="1" applyFont="1" applyFill="1" applyBorder="1" applyAlignment="1" applyProtection="1">
      <alignment horizontal="left" vertical="center"/>
    </xf>
    <xf numFmtId="0" fontId="3" fillId="0" borderId="29" xfId="0" applyNumberFormat="1" applyFont="1" applyFill="1" applyBorder="1" applyAlignment="1" applyProtection="1">
      <alignment horizontal="left" vertical="center"/>
    </xf>
    <xf numFmtId="49" fontId="1" fillId="0" borderId="7" xfId="0" applyNumberFormat="1" applyFont="1" applyFill="1" applyBorder="1" applyAlignment="1" applyProtection="1">
      <alignment horizontal="left" vertical="center"/>
    </xf>
    <xf numFmtId="0" fontId="1" fillId="0" borderId="13" xfId="0" applyNumberFormat="1" applyFont="1" applyFill="1" applyBorder="1" applyAlignment="1" applyProtection="1">
      <alignment horizontal="left" vertical="center"/>
    </xf>
    <xf numFmtId="49" fontId="1" fillId="0" borderId="3" xfId="0" applyNumberFormat="1" applyFont="1" applyFill="1" applyBorder="1" applyAlignment="1" applyProtection="1">
      <alignment horizontal="left" vertical="center"/>
    </xf>
    <xf numFmtId="49" fontId="1" fillId="0" borderId="8" xfId="0" applyNumberFormat="1" applyFont="1" applyFill="1" applyBorder="1" applyAlignment="1" applyProtection="1">
      <alignment horizontal="left" vertical="center"/>
    </xf>
    <xf numFmtId="0" fontId="1" fillId="0" borderId="1" xfId="0" applyNumberFormat="1" applyFont="1" applyFill="1" applyBorder="1" applyAlignment="1" applyProtection="1">
      <alignment horizontal="left" vertical="center"/>
    </xf>
    <xf numFmtId="49" fontId="3" fillId="0" borderId="34" xfId="0" applyNumberFormat="1" applyFont="1" applyFill="1" applyBorder="1" applyAlignment="1" applyProtection="1">
      <alignment horizontal="left" vertical="center"/>
    </xf>
    <xf numFmtId="49" fontId="12" fillId="0" borderId="0" xfId="0" applyNumberFormat="1" applyFont="1" applyFill="1" applyBorder="1" applyAlignment="1" applyProtection="1">
      <alignment horizontal="left" vertical="center"/>
    </xf>
    <xf numFmtId="49" fontId="12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1" fillId="0" borderId="24" xfId="0" applyNumberFormat="1" applyFont="1" applyFill="1" applyBorder="1" applyAlignment="1" applyProtection="1">
      <alignment horizontal="left" vertical="center"/>
    </xf>
    <xf numFmtId="49" fontId="1" fillId="0" borderId="25" xfId="0" applyNumberFormat="1" applyFont="1" applyFill="1" applyBorder="1" applyAlignment="1" applyProtection="1">
      <alignment horizontal="left" vertical="center"/>
    </xf>
    <xf numFmtId="0" fontId="1" fillId="0" borderId="8" xfId="0" applyNumberFormat="1" applyFont="1" applyFill="1" applyBorder="1" applyAlignment="1" applyProtection="1">
      <alignment horizontal="left" vertical="center"/>
    </xf>
    <xf numFmtId="0" fontId="1" fillId="0" borderId="27" xfId="0" applyNumberFormat="1" applyFont="1" applyFill="1" applyBorder="1" applyAlignment="1" applyProtection="1">
      <alignment horizontal="left" vertical="center"/>
    </xf>
    <xf numFmtId="49" fontId="15" fillId="0" borderId="35" xfId="0" applyNumberFormat="1" applyFont="1" applyFill="1" applyBorder="1" applyAlignment="1" applyProtection="1">
      <alignment horizontal="center" vertical="center"/>
    </xf>
    <xf numFmtId="0" fontId="15" fillId="0" borderId="35" xfId="0" applyNumberFormat="1" applyFont="1" applyFill="1" applyBorder="1" applyAlignment="1" applyProtection="1">
      <alignment horizontal="center" vertical="center"/>
    </xf>
    <xf numFmtId="49" fontId="19" fillId="0" borderId="39" xfId="0" applyNumberFormat="1" applyFont="1" applyFill="1" applyBorder="1" applyAlignment="1" applyProtection="1">
      <alignment horizontal="left" vertical="center"/>
    </xf>
    <xf numFmtId="0" fontId="19" fillId="0" borderId="43" xfId="0" applyNumberFormat="1" applyFont="1" applyFill="1" applyBorder="1" applyAlignment="1" applyProtection="1">
      <alignment horizontal="left" vertical="center"/>
    </xf>
    <xf numFmtId="49" fontId="18" fillId="0" borderId="39" xfId="0" applyNumberFormat="1" applyFont="1" applyFill="1" applyBorder="1" applyAlignment="1" applyProtection="1">
      <alignment horizontal="left" vertical="center"/>
    </xf>
    <xf numFmtId="0" fontId="18" fillId="0" borderId="43" xfId="0" applyNumberFormat="1" applyFont="1" applyFill="1" applyBorder="1" applyAlignment="1" applyProtection="1">
      <alignment horizontal="left" vertical="center"/>
    </xf>
    <xf numFmtId="49" fontId="17" fillId="0" borderId="39" xfId="0" applyNumberFormat="1" applyFont="1" applyFill="1" applyBorder="1" applyAlignment="1" applyProtection="1">
      <alignment horizontal="left" vertical="center"/>
    </xf>
    <xf numFmtId="0" fontId="17" fillId="0" borderId="43" xfId="0" applyNumberFormat="1" applyFont="1" applyFill="1" applyBorder="1" applyAlignment="1" applyProtection="1">
      <alignment horizontal="left" vertical="center"/>
    </xf>
    <xf numFmtId="49" fontId="17" fillId="3" borderId="39" xfId="0" applyNumberFormat="1" applyFont="1" applyFill="1" applyBorder="1" applyAlignment="1" applyProtection="1">
      <alignment horizontal="left" vertical="center"/>
    </xf>
    <xf numFmtId="0" fontId="17" fillId="3" borderId="35" xfId="0" applyNumberFormat="1" applyFont="1" applyFill="1" applyBorder="1" applyAlignment="1" applyProtection="1">
      <alignment horizontal="left" vertical="center"/>
    </xf>
    <xf numFmtId="49" fontId="18" fillId="0" borderId="41" xfId="0" applyNumberFormat="1" applyFont="1" applyFill="1" applyBorder="1" applyAlignment="1" applyProtection="1">
      <alignment horizontal="left" vertical="center"/>
    </xf>
    <xf numFmtId="0" fontId="18" fillId="0" borderId="13" xfId="0" applyNumberFormat="1" applyFont="1" applyFill="1" applyBorder="1" applyAlignment="1" applyProtection="1">
      <alignment horizontal="left" vertical="center"/>
    </xf>
    <xf numFmtId="0" fontId="18" fillId="0" borderId="44" xfId="0" applyNumberFormat="1" applyFont="1" applyFill="1" applyBorder="1" applyAlignment="1" applyProtection="1">
      <alignment horizontal="left" vertical="center"/>
    </xf>
    <xf numFmtId="49" fontId="18" fillId="0" borderId="32" xfId="0" applyNumberFormat="1" applyFont="1" applyFill="1" applyBorder="1" applyAlignment="1" applyProtection="1">
      <alignment horizontal="left" vertical="center"/>
    </xf>
    <xf numFmtId="0" fontId="18" fillId="0" borderId="0" xfId="0" applyNumberFormat="1" applyFont="1" applyFill="1" applyBorder="1" applyAlignment="1" applyProtection="1">
      <alignment horizontal="left" vertical="center"/>
    </xf>
    <xf numFmtId="0" fontId="18" fillId="0" borderId="45" xfId="0" applyNumberFormat="1" applyFont="1" applyFill="1" applyBorder="1" applyAlignment="1" applyProtection="1">
      <alignment horizontal="left" vertical="center"/>
    </xf>
    <xf numFmtId="49" fontId="18" fillId="0" borderId="42" xfId="0" applyNumberFormat="1" applyFont="1" applyFill="1" applyBorder="1" applyAlignment="1" applyProtection="1">
      <alignment horizontal="left" vertical="center"/>
    </xf>
    <xf numFmtId="0" fontId="18" fillId="0" borderId="10" xfId="0" applyNumberFormat="1" applyFont="1" applyFill="1" applyBorder="1" applyAlignment="1" applyProtection="1">
      <alignment horizontal="left" vertical="center"/>
    </xf>
    <xf numFmtId="0" fontId="18" fillId="0" borderId="46" xfId="0" applyNumberFormat="1" applyFont="1" applyFill="1" applyBorder="1" applyAlignment="1" applyProtection="1">
      <alignment horizontal="left" vertical="center"/>
    </xf>
    <xf numFmtId="49" fontId="17" fillId="0" borderId="10" xfId="0" applyNumberFormat="1" applyFont="1" applyFill="1" applyBorder="1" applyAlignment="1" applyProtection="1">
      <alignment horizontal="left" vertical="center"/>
    </xf>
    <xf numFmtId="0" fontId="17" fillId="0" borderId="10" xfId="0" applyNumberFormat="1" applyFont="1" applyFill="1" applyBorder="1" applyAlignment="1" applyProtection="1">
      <alignment horizontal="left" vertical="center"/>
    </xf>
    <xf numFmtId="49" fontId="3" fillId="0" borderId="18" xfId="0" applyNumberFormat="1" applyFont="1" applyFill="1" applyBorder="1" applyAlignment="1" applyProtection="1">
      <alignment horizontal="left" vertical="center"/>
    </xf>
    <xf numFmtId="0" fontId="3" fillId="0" borderId="20" xfId="0" applyNumberFormat="1" applyFont="1" applyFill="1" applyBorder="1" applyAlignment="1" applyProtection="1">
      <alignment horizontal="left" vertical="center"/>
    </xf>
    <xf numFmtId="0" fontId="3" fillId="0" borderId="22" xfId="0" applyNumberFormat="1" applyFont="1" applyFill="1" applyBorder="1" applyAlignment="1" applyProtection="1">
      <alignment horizontal="left" vertical="center"/>
    </xf>
    <xf numFmtId="49" fontId="1" fillId="0" borderId="39" xfId="0" applyNumberFormat="1" applyFont="1" applyFill="1" applyBorder="1" applyAlignment="1" applyProtection="1">
      <alignment horizontal="left" vertical="center"/>
    </xf>
    <xf numFmtId="0" fontId="1" fillId="0" borderId="35" xfId="0" applyNumberFormat="1" applyFont="1" applyFill="1" applyBorder="1" applyAlignment="1" applyProtection="1">
      <alignment horizontal="left" vertical="center"/>
    </xf>
    <xf numFmtId="0" fontId="1" fillId="0" borderId="43" xfId="0" applyNumberFormat="1" applyFont="1" applyFill="1" applyBorder="1" applyAlignment="1" applyProtection="1">
      <alignment horizontal="left" vertical="center"/>
    </xf>
    <xf numFmtId="49" fontId="1" fillId="0" borderId="47" xfId="0" applyNumberFormat="1" applyFont="1" applyFill="1" applyBorder="1" applyAlignment="1" applyProtection="1">
      <alignment horizontal="left" vertical="center"/>
    </xf>
    <xf numFmtId="0" fontId="1" fillId="0" borderId="40" xfId="0" applyNumberFormat="1" applyFont="1" applyFill="1" applyBorder="1" applyAlignment="1" applyProtection="1">
      <alignment horizontal="left" vertical="center"/>
    </xf>
    <xf numFmtId="0" fontId="1" fillId="0" borderId="49" xfId="0" applyNumberFormat="1" applyFont="1" applyFill="1" applyBorder="1" applyAlignment="1" applyProtection="1">
      <alignment horizontal="left" vertical="center"/>
    </xf>
    <xf numFmtId="0" fontId="3" fillId="0" borderId="48" xfId="0" applyNumberFormat="1" applyFont="1" applyFill="1" applyBorder="1" applyAlignment="1" applyProtection="1">
      <alignment horizontal="left" vertical="center"/>
    </xf>
    <xf numFmtId="0" fontId="3" fillId="0" borderId="50" xfId="0" applyNumberFormat="1" applyFont="1" applyFill="1" applyBorder="1" applyAlignment="1" applyProtection="1">
      <alignment horizontal="left" vertical="center"/>
    </xf>
    <xf numFmtId="49" fontId="17" fillId="0" borderId="28" xfId="0" applyNumberFormat="1" applyFont="1" applyFill="1" applyBorder="1" applyAlignment="1" applyProtection="1">
      <alignment horizontal="left" vertical="center"/>
    </xf>
    <xf numFmtId="0" fontId="17" fillId="0" borderId="48" xfId="0" applyNumberFormat="1" applyFont="1" applyFill="1" applyBorder="1" applyAlignment="1" applyProtection="1">
      <alignment horizontal="left" vertical="center"/>
    </xf>
    <xf numFmtId="0" fontId="17" fillId="0" borderId="50" xfId="0" applyNumberFormat="1" applyFont="1" applyFill="1" applyBorder="1" applyAlignment="1" applyProtection="1">
      <alignment horizontal="left" vertical="center"/>
    </xf>
    <xf numFmtId="4" fontId="17" fillId="0" borderId="28" xfId="0" applyNumberFormat="1" applyFont="1" applyFill="1" applyBorder="1" applyAlignment="1" applyProtection="1">
      <alignment horizontal="right" vertical="center"/>
    </xf>
    <xf numFmtId="0" fontId="17" fillId="0" borderId="48" xfId="0" applyNumberFormat="1" applyFont="1" applyFill="1" applyBorder="1" applyAlignment="1" applyProtection="1">
      <alignment horizontal="right" vertical="center"/>
    </xf>
    <xf numFmtId="0" fontId="17" fillId="0" borderId="50" xfId="0" applyNumberFormat="1" applyFont="1" applyFill="1" applyBorder="1" applyAlignment="1" applyProtection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000000"/>
      <rgbColor rgb="00000000"/>
      <rgbColor rgb="00000000"/>
      <rgbColor rgb="00DBDBDB"/>
      <rgbColor rgb="00000000"/>
      <rgbColor rgb="00C0C0C0"/>
      <rgbColor rgb="00000000"/>
      <rgbColor rgb="00C0C0C0"/>
      <rgbColor rgb="00000000"/>
      <rgbColor rgb="00000000"/>
      <rgbColor rgb="00000000"/>
      <rgbColor rgb="00000000"/>
      <rgbColor rgb="00000000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678180</xdr:colOff>
      <xdr:row>0</xdr:row>
      <xdr:rowOff>891540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9640" cy="891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464820</xdr:colOff>
      <xdr:row>0</xdr:row>
      <xdr:rowOff>891540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52500" cy="891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891540</xdr:colOff>
      <xdr:row>0</xdr:row>
      <xdr:rowOff>891540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1540" cy="891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289560</xdr:colOff>
      <xdr:row>0</xdr:row>
      <xdr:rowOff>891540</xdr:rowOff>
    </xdr:to>
    <xdr:pic>
      <xdr:nvPicPr>
        <xdr:cNvPr id="4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4400" cy="891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289560</xdr:colOff>
      <xdr:row>0</xdr:row>
      <xdr:rowOff>891540</xdr:rowOff>
    </xdr:to>
    <xdr:pic>
      <xdr:nvPicPr>
        <xdr:cNvPr id="51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4400" cy="891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191"/>
  <sheetViews>
    <sheetView workbookViewId="0">
      <pane ySplit="11" topLeftCell="A12" activePane="bottomLeft" state="frozenSplit"/>
      <selection pane="bottomLeft" sqref="A1:N1"/>
    </sheetView>
  </sheetViews>
  <sheetFormatPr defaultColWidth="11.5546875" defaultRowHeight="13.2" x14ac:dyDescent="0.25"/>
  <cols>
    <col min="1" max="1" width="3.6640625" customWidth="1"/>
    <col min="2" max="2" width="14.33203125" customWidth="1"/>
    <col min="3" max="3" width="77.88671875" customWidth="1"/>
    <col min="4" max="4" width="24" customWidth="1"/>
    <col min="7" max="7" width="6.44140625" customWidth="1"/>
    <col min="8" max="8" width="12.88671875" customWidth="1"/>
    <col min="9" max="9" width="12" customWidth="1"/>
    <col min="10" max="12" width="14.33203125" customWidth="1"/>
    <col min="13" max="14" width="11.6640625" customWidth="1"/>
    <col min="25" max="64" width="12.109375" hidden="1" customWidth="1"/>
  </cols>
  <sheetData>
    <row r="1" spans="1:64" ht="73.05" customHeight="1" x14ac:dyDescent="0.4">
      <c r="A1" s="105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</row>
    <row r="2" spans="1:64" x14ac:dyDescent="0.25">
      <c r="A2" s="107" t="s">
        <v>1</v>
      </c>
      <c r="B2" s="108"/>
      <c r="C2" s="111" t="s">
        <v>305</v>
      </c>
      <c r="D2" s="113" t="s">
        <v>482</v>
      </c>
      <c r="E2" s="113" t="s">
        <v>486</v>
      </c>
      <c r="F2" s="114" t="s">
        <v>489</v>
      </c>
      <c r="G2" s="114" t="s">
        <v>495</v>
      </c>
      <c r="H2" s="108"/>
      <c r="I2" s="108"/>
      <c r="J2" s="108"/>
      <c r="K2" s="108"/>
      <c r="L2" s="108"/>
      <c r="M2" s="108"/>
      <c r="N2" s="115"/>
      <c r="O2" s="6"/>
    </row>
    <row r="3" spans="1:64" x14ac:dyDescent="0.25">
      <c r="A3" s="109"/>
      <c r="B3" s="110"/>
      <c r="C3" s="112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6"/>
      <c r="O3" s="6"/>
    </row>
    <row r="4" spans="1:64" x14ac:dyDescent="0.25">
      <c r="A4" s="117" t="s">
        <v>2</v>
      </c>
      <c r="B4" s="110"/>
      <c r="C4" s="118" t="s">
        <v>306</v>
      </c>
      <c r="D4" s="119" t="s">
        <v>483</v>
      </c>
      <c r="E4" s="119" t="s">
        <v>6</v>
      </c>
      <c r="F4" s="118" t="s">
        <v>490</v>
      </c>
      <c r="G4" s="118" t="s">
        <v>496</v>
      </c>
      <c r="H4" s="110"/>
      <c r="I4" s="110"/>
      <c r="J4" s="110"/>
      <c r="K4" s="110"/>
      <c r="L4" s="110"/>
      <c r="M4" s="110"/>
      <c r="N4" s="116"/>
      <c r="O4" s="6"/>
    </row>
    <row r="5" spans="1:64" x14ac:dyDescent="0.25">
      <c r="A5" s="109"/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6"/>
      <c r="O5" s="6"/>
    </row>
    <row r="6" spans="1:64" x14ac:dyDescent="0.25">
      <c r="A6" s="117" t="s">
        <v>3</v>
      </c>
      <c r="B6" s="110"/>
      <c r="C6" s="118" t="s">
        <v>307</v>
      </c>
      <c r="D6" s="119" t="s">
        <v>484</v>
      </c>
      <c r="E6" s="119"/>
      <c r="F6" s="118" t="s">
        <v>491</v>
      </c>
      <c r="G6" s="119" t="s">
        <v>497</v>
      </c>
      <c r="H6" s="110"/>
      <c r="I6" s="110"/>
      <c r="J6" s="110"/>
      <c r="K6" s="110"/>
      <c r="L6" s="110"/>
      <c r="M6" s="110"/>
      <c r="N6" s="116"/>
      <c r="O6" s="6"/>
    </row>
    <row r="7" spans="1:64" x14ac:dyDescent="0.25">
      <c r="A7" s="109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6"/>
      <c r="O7" s="6"/>
    </row>
    <row r="8" spans="1:64" x14ac:dyDescent="0.25">
      <c r="A8" s="117" t="s">
        <v>4</v>
      </c>
      <c r="B8" s="110"/>
      <c r="C8" s="118" t="s">
        <v>6</v>
      </c>
      <c r="D8" s="119" t="s">
        <v>485</v>
      </c>
      <c r="E8" s="119" t="s">
        <v>488</v>
      </c>
      <c r="F8" s="118" t="s">
        <v>492</v>
      </c>
      <c r="G8" s="118" t="s">
        <v>496</v>
      </c>
      <c r="H8" s="110"/>
      <c r="I8" s="110"/>
      <c r="J8" s="110"/>
      <c r="K8" s="110"/>
      <c r="L8" s="110"/>
      <c r="M8" s="110"/>
      <c r="N8" s="116"/>
      <c r="O8" s="6"/>
    </row>
    <row r="9" spans="1:64" x14ac:dyDescent="0.25">
      <c r="A9" s="120"/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2"/>
      <c r="O9" s="6"/>
    </row>
    <row r="10" spans="1:64" x14ac:dyDescent="0.25">
      <c r="A10" s="1" t="s">
        <v>5</v>
      </c>
      <c r="B10" s="11" t="s">
        <v>148</v>
      </c>
      <c r="C10" s="123" t="s">
        <v>308</v>
      </c>
      <c r="D10" s="124"/>
      <c r="E10" s="124"/>
      <c r="F10" s="125"/>
      <c r="G10" s="11" t="s">
        <v>498</v>
      </c>
      <c r="H10" s="25" t="s">
        <v>509</v>
      </c>
      <c r="I10" s="30" t="s">
        <v>510</v>
      </c>
      <c r="J10" s="126" t="s">
        <v>512</v>
      </c>
      <c r="K10" s="127"/>
      <c r="L10" s="128"/>
      <c r="M10" s="126" t="s">
        <v>517</v>
      </c>
      <c r="N10" s="129"/>
      <c r="O10" s="6"/>
      <c r="BK10" s="37" t="s">
        <v>572</v>
      </c>
      <c r="BL10" s="44" t="s">
        <v>575</v>
      </c>
    </row>
    <row r="11" spans="1:64" x14ac:dyDescent="0.25">
      <c r="A11" s="2" t="s">
        <v>6</v>
      </c>
      <c r="B11" s="12" t="s">
        <v>6</v>
      </c>
      <c r="C11" s="130" t="s">
        <v>309</v>
      </c>
      <c r="D11" s="131"/>
      <c r="E11" s="131"/>
      <c r="F11" s="132"/>
      <c r="G11" s="12" t="s">
        <v>6</v>
      </c>
      <c r="H11" s="12" t="s">
        <v>6</v>
      </c>
      <c r="I11" s="31" t="s">
        <v>511</v>
      </c>
      <c r="J11" s="32" t="s">
        <v>513</v>
      </c>
      <c r="K11" s="34" t="s">
        <v>515</v>
      </c>
      <c r="L11" s="35" t="s">
        <v>516</v>
      </c>
      <c r="M11" s="32" t="s">
        <v>518</v>
      </c>
      <c r="N11" s="34" t="s">
        <v>516</v>
      </c>
      <c r="O11" s="6"/>
      <c r="Z11" s="37" t="s">
        <v>519</v>
      </c>
      <c r="AA11" s="37" t="s">
        <v>520</v>
      </c>
      <c r="AB11" s="37" t="s">
        <v>521</v>
      </c>
      <c r="AC11" s="37" t="s">
        <v>522</v>
      </c>
      <c r="AD11" s="37" t="s">
        <v>523</v>
      </c>
      <c r="AE11" s="37" t="s">
        <v>524</v>
      </c>
      <c r="AF11" s="37" t="s">
        <v>525</v>
      </c>
      <c r="AG11" s="37" t="s">
        <v>526</v>
      </c>
      <c r="AH11" s="37" t="s">
        <v>527</v>
      </c>
      <c r="BH11" s="37" t="s">
        <v>569</v>
      </c>
      <c r="BI11" s="37" t="s">
        <v>570</v>
      </c>
      <c r="BJ11" s="37" t="s">
        <v>571</v>
      </c>
    </row>
    <row r="12" spans="1:64" x14ac:dyDescent="0.25">
      <c r="A12" s="3"/>
      <c r="B12" s="13" t="s">
        <v>149</v>
      </c>
      <c r="C12" s="133" t="s">
        <v>310</v>
      </c>
      <c r="D12" s="134"/>
      <c r="E12" s="134"/>
      <c r="F12" s="134"/>
      <c r="G12" s="23" t="s">
        <v>6</v>
      </c>
      <c r="H12" s="23" t="s">
        <v>6</v>
      </c>
      <c r="I12" s="23" t="s">
        <v>6</v>
      </c>
      <c r="J12" s="45">
        <f>SUM(J13:J13)</f>
        <v>0</v>
      </c>
      <c r="K12" s="45">
        <f>SUM(K13:K13)</f>
        <v>0</v>
      </c>
      <c r="L12" s="45">
        <f>SUM(L13:L13)</f>
        <v>0</v>
      </c>
      <c r="M12" s="36"/>
      <c r="N12" s="48">
        <f>SUM(N13:N13)</f>
        <v>156</v>
      </c>
      <c r="O12" s="6"/>
      <c r="AI12" s="37"/>
      <c r="AS12" s="46">
        <f>SUM(AJ13:AJ13)</f>
        <v>0</v>
      </c>
      <c r="AT12" s="46">
        <f>SUM(AK13:AK13)</f>
        <v>0</v>
      </c>
      <c r="AU12" s="46">
        <f>SUM(AL13:AL13)</f>
        <v>0</v>
      </c>
    </row>
    <row r="13" spans="1:64" x14ac:dyDescent="0.25">
      <c r="A13" s="4" t="s">
        <v>7</v>
      </c>
      <c r="B13" s="14" t="s">
        <v>150</v>
      </c>
      <c r="C13" s="135" t="s">
        <v>311</v>
      </c>
      <c r="D13" s="136"/>
      <c r="E13" s="136"/>
      <c r="F13" s="136"/>
      <c r="G13" s="14" t="s">
        <v>499</v>
      </c>
      <c r="H13" s="26">
        <v>12</v>
      </c>
      <c r="I13" s="26">
        <v>0</v>
      </c>
      <c r="J13" s="26">
        <f>H13*AO13</f>
        <v>0</v>
      </c>
      <c r="K13" s="26">
        <f>H13*AP13</f>
        <v>0</v>
      </c>
      <c r="L13" s="26">
        <f>H13*I13</f>
        <v>0</v>
      </c>
      <c r="M13" s="26">
        <v>0</v>
      </c>
      <c r="N13" s="49">
        <f>H13*13</f>
        <v>156</v>
      </c>
      <c r="O13" s="6"/>
      <c r="Z13" s="40">
        <f>IF(AQ13="5",BJ13,0)</f>
        <v>0</v>
      </c>
      <c r="AB13" s="40">
        <f>IF(AQ13="1",BH13,0)</f>
        <v>0</v>
      </c>
      <c r="AC13" s="40">
        <f>IF(AQ13="1",BI13,0)</f>
        <v>0</v>
      </c>
      <c r="AD13" s="40">
        <f>IF(AQ13="7",BH13,0)</f>
        <v>0</v>
      </c>
      <c r="AE13" s="40">
        <f>IF(AQ13="7",BI13,0)</f>
        <v>0</v>
      </c>
      <c r="AF13" s="40">
        <f>IF(AQ13="2",BH13,0)</f>
        <v>0</v>
      </c>
      <c r="AG13" s="40">
        <f>IF(AQ13="2",BI13,0)</f>
        <v>0</v>
      </c>
      <c r="AH13" s="40">
        <f>IF(AQ13="0",BJ13,0)</f>
        <v>0</v>
      </c>
      <c r="AI13" s="37"/>
      <c r="AJ13" s="26">
        <f>IF(AN13=0,L13,0)</f>
        <v>0</v>
      </c>
      <c r="AK13" s="26">
        <f>IF(AN13=15,L13,0)</f>
        <v>0</v>
      </c>
      <c r="AL13" s="26">
        <f>IF(AN13=21,L13,0)</f>
        <v>0</v>
      </c>
      <c r="AN13" s="40">
        <v>21</v>
      </c>
      <c r="AO13" s="40">
        <f>I13*0</f>
        <v>0</v>
      </c>
      <c r="AP13" s="40">
        <f>I13*(1-0)</f>
        <v>0</v>
      </c>
      <c r="AQ13" s="41" t="s">
        <v>7</v>
      </c>
      <c r="AV13" s="40">
        <f>AW13+AX13</f>
        <v>0</v>
      </c>
      <c r="AW13" s="40">
        <f>H13*AO13</f>
        <v>0</v>
      </c>
      <c r="AX13" s="40">
        <f>H13*AP13</f>
        <v>0</v>
      </c>
      <c r="AY13" s="43" t="s">
        <v>528</v>
      </c>
      <c r="AZ13" s="43" t="s">
        <v>558</v>
      </c>
      <c r="BA13" s="37" t="s">
        <v>568</v>
      </c>
      <c r="BC13" s="40">
        <f>AW13+AX13</f>
        <v>0</v>
      </c>
      <c r="BD13" s="40">
        <f>I13/(100-BE13)*100</f>
        <v>0</v>
      </c>
      <c r="BE13" s="40">
        <v>0</v>
      </c>
      <c r="BF13" s="40">
        <f>N13</f>
        <v>156</v>
      </c>
      <c r="BH13" s="26">
        <f>H13*AO13</f>
        <v>0</v>
      </c>
      <c r="BI13" s="26">
        <f>H13*AP13</f>
        <v>0</v>
      </c>
      <c r="BJ13" s="26">
        <f>H13*I13</f>
        <v>0</v>
      </c>
      <c r="BK13" s="26" t="s">
        <v>573</v>
      </c>
      <c r="BL13" s="40" t="s">
        <v>149</v>
      </c>
    </row>
    <row r="14" spans="1:64" x14ac:dyDescent="0.25">
      <c r="A14" s="5"/>
      <c r="B14" s="15" t="s">
        <v>37</v>
      </c>
      <c r="C14" s="137" t="s">
        <v>312</v>
      </c>
      <c r="D14" s="138"/>
      <c r="E14" s="138"/>
      <c r="F14" s="138"/>
      <c r="G14" s="24" t="s">
        <v>6</v>
      </c>
      <c r="H14" s="24" t="s">
        <v>6</v>
      </c>
      <c r="I14" s="24" t="s">
        <v>6</v>
      </c>
      <c r="J14" s="46">
        <f>SUM(J15:J15)</f>
        <v>0</v>
      </c>
      <c r="K14" s="46">
        <f>SUM(K15:K15)</f>
        <v>0</v>
      </c>
      <c r="L14" s="46">
        <f>SUM(L15:L15)</f>
        <v>0</v>
      </c>
      <c r="M14" s="37"/>
      <c r="N14" s="50">
        <f>SUM(N15:N15)</f>
        <v>15</v>
      </c>
      <c r="O14" s="6"/>
      <c r="AI14" s="37"/>
      <c r="AS14" s="46">
        <f>SUM(AJ15:AJ15)</f>
        <v>0</v>
      </c>
      <c r="AT14" s="46">
        <f>SUM(AK15:AK15)</f>
        <v>0</v>
      </c>
      <c r="AU14" s="46">
        <f>SUM(AL15:AL15)</f>
        <v>0</v>
      </c>
    </row>
    <row r="15" spans="1:64" x14ac:dyDescent="0.25">
      <c r="A15" s="4" t="s">
        <v>8</v>
      </c>
      <c r="B15" s="14" t="s">
        <v>151</v>
      </c>
      <c r="C15" s="135" t="s">
        <v>313</v>
      </c>
      <c r="D15" s="136"/>
      <c r="E15" s="136"/>
      <c r="F15" s="136"/>
      <c r="G15" s="14" t="s">
        <v>500</v>
      </c>
      <c r="H15" s="26">
        <v>1</v>
      </c>
      <c r="I15" s="26">
        <v>0</v>
      </c>
      <c r="J15" s="26">
        <f>H15*AO15</f>
        <v>0</v>
      </c>
      <c r="K15" s="26">
        <f>H15*AP15</f>
        <v>0</v>
      </c>
      <c r="L15" s="26">
        <f>H15*I15</f>
        <v>0</v>
      </c>
      <c r="M15" s="26">
        <v>0.11122</v>
      </c>
      <c r="N15" s="49">
        <f>H15*15</f>
        <v>15</v>
      </c>
      <c r="O15" s="6"/>
      <c r="Z15" s="40">
        <f>IF(AQ15="5",BJ15,0)</f>
        <v>0</v>
      </c>
      <c r="AB15" s="40">
        <f>IF(AQ15="1",BH15,0)</f>
        <v>0</v>
      </c>
      <c r="AC15" s="40">
        <f>IF(AQ15="1",BI15,0)</f>
        <v>0</v>
      </c>
      <c r="AD15" s="40">
        <f>IF(AQ15="7",BH15,0)</f>
        <v>0</v>
      </c>
      <c r="AE15" s="40">
        <f>IF(AQ15="7",BI15,0)</f>
        <v>0</v>
      </c>
      <c r="AF15" s="40">
        <f>IF(AQ15="2",BH15,0)</f>
        <v>0</v>
      </c>
      <c r="AG15" s="40">
        <f>IF(AQ15="2",BI15,0)</f>
        <v>0</v>
      </c>
      <c r="AH15" s="40">
        <f>IF(AQ15="0",BJ15,0)</f>
        <v>0</v>
      </c>
      <c r="AI15" s="37"/>
      <c r="AJ15" s="26">
        <f>IF(AN15=0,L15,0)</f>
        <v>0</v>
      </c>
      <c r="AK15" s="26">
        <f>IF(AN15=15,L15,0)</f>
        <v>0</v>
      </c>
      <c r="AL15" s="26">
        <f>IF(AN15=21,L15,0)</f>
        <v>0</v>
      </c>
      <c r="AN15" s="40">
        <v>21</v>
      </c>
      <c r="AO15" s="40">
        <f>I15*0.524179012345679</f>
        <v>0</v>
      </c>
      <c r="AP15" s="40">
        <f>I15*(1-0.524179012345679)</f>
        <v>0</v>
      </c>
      <c r="AQ15" s="41" t="s">
        <v>7</v>
      </c>
      <c r="AV15" s="40">
        <f>AW15+AX15</f>
        <v>0</v>
      </c>
      <c r="AW15" s="40">
        <f>H15*AO15</f>
        <v>0</v>
      </c>
      <c r="AX15" s="40">
        <f>H15*AP15</f>
        <v>0</v>
      </c>
      <c r="AY15" s="43" t="s">
        <v>529</v>
      </c>
      <c r="AZ15" s="43" t="s">
        <v>559</v>
      </c>
      <c r="BA15" s="37" t="s">
        <v>568</v>
      </c>
      <c r="BC15" s="40">
        <f>AW15+AX15</f>
        <v>0</v>
      </c>
      <c r="BD15" s="40">
        <f>I15/(100-BE15)*100</f>
        <v>0</v>
      </c>
      <c r="BE15" s="40">
        <v>0</v>
      </c>
      <c r="BF15" s="40">
        <f>N15</f>
        <v>15</v>
      </c>
      <c r="BH15" s="26">
        <f>H15*AO15</f>
        <v>0</v>
      </c>
      <c r="BI15" s="26">
        <f>H15*AP15</f>
        <v>0</v>
      </c>
      <c r="BJ15" s="26">
        <f>H15*I15</f>
        <v>0</v>
      </c>
      <c r="BK15" s="26" t="s">
        <v>573</v>
      </c>
      <c r="BL15" s="40">
        <v>31</v>
      </c>
    </row>
    <row r="16" spans="1:64" x14ac:dyDescent="0.25">
      <c r="A16" s="5"/>
      <c r="B16" s="15" t="s">
        <v>67</v>
      </c>
      <c r="C16" s="137" t="s">
        <v>314</v>
      </c>
      <c r="D16" s="138"/>
      <c r="E16" s="138"/>
      <c r="F16" s="138"/>
      <c r="G16" s="24" t="s">
        <v>6</v>
      </c>
      <c r="H16" s="24" t="s">
        <v>6</v>
      </c>
      <c r="I16" s="24" t="s">
        <v>6</v>
      </c>
      <c r="J16" s="46">
        <f>SUM(J17:J17)</f>
        <v>0</v>
      </c>
      <c r="K16" s="46">
        <f>SUM(K17:K17)</f>
        <v>0</v>
      </c>
      <c r="L16" s="46">
        <f>SUM(L17:L17)</f>
        <v>0</v>
      </c>
      <c r="M16" s="37"/>
      <c r="N16" s="50">
        <f>SUM(N17:N17)</f>
        <v>17</v>
      </c>
      <c r="O16" s="6"/>
      <c r="AI16" s="37"/>
      <c r="AS16" s="46">
        <f>SUM(AJ17:AJ17)</f>
        <v>0</v>
      </c>
      <c r="AT16" s="46">
        <f>SUM(AK17:AK17)</f>
        <v>0</v>
      </c>
      <c r="AU16" s="46">
        <f>SUM(AL17:AL17)</f>
        <v>0</v>
      </c>
    </row>
    <row r="17" spans="1:64" x14ac:dyDescent="0.25">
      <c r="A17" s="4" t="s">
        <v>9</v>
      </c>
      <c r="B17" s="14" t="s">
        <v>152</v>
      </c>
      <c r="C17" s="135" t="s">
        <v>315</v>
      </c>
      <c r="D17" s="136"/>
      <c r="E17" s="136"/>
      <c r="F17" s="136"/>
      <c r="G17" s="14" t="s">
        <v>500</v>
      </c>
      <c r="H17" s="26">
        <v>1</v>
      </c>
      <c r="I17" s="26">
        <v>0</v>
      </c>
      <c r="J17" s="26">
        <f>H17*AO17</f>
        <v>0</v>
      </c>
      <c r="K17" s="26">
        <f>H17*AP17</f>
        <v>0</v>
      </c>
      <c r="L17" s="26">
        <f>H17*I17</f>
        <v>0</v>
      </c>
      <c r="M17" s="26">
        <v>8.6700000000000006E-3</v>
      </c>
      <c r="N17" s="49">
        <f>H17*17</f>
        <v>17</v>
      </c>
      <c r="O17" s="6"/>
      <c r="Z17" s="40">
        <f>IF(AQ17="5",BJ17,0)</f>
        <v>0</v>
      </c>
      <c r="AB17" s="40">
        <f>IF(AQ17="1",BH17,0)</f>
        <v>0</v>
      </c>
      <c r="AC17" s="40">
        <f>IF(AQ17="1",BI17,0)</f>
        <v>0</v>
      </c>
      <c r="AD17" s="40">
        <f>IF(AQ17="7",BH17,0)</f>
        <v>0</v>
      </c>
      <c r="AE17" s="40">
        <f>IF(AQ17="7",BI17,0)</f>
        <v>0</v>
      </c>
      <c r="AF17" s="40">
        <f>IF(AQ17="2",BH17,0)</f>
        <v>0</v>
      </c>
      <c r="AG17" s="40">
        <f>IF(AQ17="2",BI17,0)</f>
        <v>0</v>
      </c>
      <c r="AH17" s="40">
        <f>IF(AQ17="0",BJ17,0)</f>
        <v>0</v>
      </c>
      <c r="AI17" s="37"/>
      <c r="AJ17" s="26">
        <f>IF(AN17=0,L17,0)</f>
        <v>0</v>
      </c>
      <c r="AK17" s="26">
        <f>IF(AN17=15,L17,0)</f>
        <v>0</v>
      </c>
      <c r="AL17" s="26">
        <f>IF(AN17=21,L17,0)</f>
        <v>0</v>
      </c>
      <c r="AN17" s="40">
        <v>21</v>
      </c>
      <c r="AO17" s="40">
        <f>I17*0.23287610619469</f>
        <v>0</v>
      </c>
      <c r="AP17" s="40">
        <f>I17*(1-0.23287610619469)</f>
        <v>0</v>
      </c>
      <c r="AQ17" s="41" t="s">
        <v>7</v>
      </c>
      <c r="AV17" s="40">
        <f>AW17+AX17</f>
        <v>0</v>
      </c>
      <c r="AW17" s="40">
        <f>H17*AO17</f>
        <v>0</v>
      </c>
      <c r="AX17" s="40">
        <f>H17*AP17</f>
        <v>0</v>
      </c>
      <c r="AY17" s="43" t="s">
        <v>530</v>
      </c>
      <c r="AZ17" s="43" t="s">
        <v>560</v>
      </c>
      <c r="BA17" s="37" t="s">
        <v>568</v>
      </c>
      <c r="BC17" s="40">
        <f>AW17+AX17</f>
        <v>0</v>
      </c>
      <c r="BD17" s="40">
        <f>I17/(100-BE17)*100</f>
        <v>0</v>
      </c>
      <c r="BE17" s="40">
        <v>0</v>
      </c>
      <c r="BF17" s="40">
        <f>N17</f>
        <v>17</v>
      </c>
      <c r="BH17" s="26">
        <f>H17*AO17</f>
        <v>0</v>
      </c>
      <c r="BI17" s="26">
        <f>H17*AP17</f>
        <v>0</v>
      </c>
      <c r="BJ17" s="26">
        <f>H17*I17</f>
        <v>0</v>
      </c>
      <c r="BK17" s="26" t="s">
        <v>573</v>
      </c>
      <c r="BL17" s="40">
        <v>61</v>
      </c>
    </row>
    <row r="18" spans="1:64" x14ac:dyDescent="0.25">
      <c r="A18" s="5"/>
      <c r="B18" s="15" t="s">
        <v>69</v>
      </c>
      <c r="C18" s="137" t="s">
        <v>316</v>
      </c>
      <c r="D18" s="138"/>
      <c r="E18" s="138"/>
      <c r="F18" s="138"/>
      <c r="G18" s="24" t="s">
        <v>6</v>
      </c>
      <c r="H18" s="24" t="s">
        <v>6</v>
      </c>
      <c r="I18" s="24" t="s">
        <v>6</v>
      </c>
      <c r="J18" s="46">
        <f>SUM(J19:J19)</f>
        <v>0</v>
      </c>
      <c r="K18" s="46">
        <f>SUM(K19:K19)</f>
        <v>0</v>
      </c>
      <c r="L18" s="46">
        <f>SUM(L19:L19)</f>
        <v>0</v>
      </c>
      <c r="M18" s="37"/>
      <c r="N18" s="50">
        <f>SUM(N19:N19)</f>
        <v>69.16</v>
      </c>
      <c r="O18" s="6"/>
      <c r="AI18" s="37"/>
      <c r="AS18" s="46">
        <f>SUM(AJ19:AJ19)</f>
        <v>0</v>
      </c>
      <c r="AT18" s="46">
        <f>SUM(AK19:AK19)</f>
        <v>0</v>
      </c>
      <c r="AU18" s="46">
        <f>SUM(AL19:AL19)</f>
        <v>0</v>
      </c>
    </row>
    <row r="19" spans="1:64" x14ac:dyDescent="0.25">
      <c r="A19" s="4" t="s">
        <v>10</v>
      </c>
      <c r="B19" s="14" t="s">
        <v>153</v>
      </c>
      <c r="C19" s="135" t="s">
        <v>317</v>
      </c>
      <c r="D19" s="136"/>
      <c r="E19" s="136"/>
      <c r="F19" s="136"/>
      <c r="G19" s="14" t="s">
        <v>501</v>
      </c>
      <c r="H19" s="26">
        <v>3.64</v>
      </c>
      <c r="I19" s="26">
        <v>0</v>
      </c>
      <c r="J19" s="26">
        <f>H19*AO19</f>
        <v>0</v>
      </c>
      <c r="K19" s="26">
        <f>H19*AP19</f>
        <v>0</v>
      </c>
      <c r="L19" s="26">
        <f>H19*I19</f>
        <v>0</v>
      </c>
      <c r="M19" s="26">
        <v>9.8680000000000004E-2</v>
      </c>
      <c r="N19" s="49">
        <f>H19*19</f>
        <v>69.16</v>
      </c>
      <c r="O19" s="6"/>
      <c r="Z19" s="40">
        <f>IF(AQ19="5",BJ19,0)</f>
        <v>0</v>
      </c>
      <c r="AB19" s="40">
        <f>IF(AQ19="1",BH19,0)</f>
        <v>0</v>
      </c>
      <c r="AC19" s="40">
        <f>IF(AQ19="1",BI19,0)</f>
        <v>0</v>
      </c>
      <c r="AD19" s="40">
        <f>IF(AQ19="7",BH19,0)</f>
        <v>0</v>
      </c>
      <c r="AE19" s="40">
        <f>IF(AQ19="7",BI19,0)</f>
        <v>0</v>
      </c>
      <c r="AF19" s="40">
        <f>IF(AQ19="2",BH19,0)</f>
        <v>0</v>
      </c>
      <c r="AG19" s="40">
        <f>IF(AQ19="2",BI19,0)</f>
        <v>0</v>
      </c>
      <c r="AH19" s="40">
        <f>IF(AQ19="0",BJ19,0)</f>
        <v>0</v>
      </c>
      <c r="AI19" s="37"/>
      <c r="AJ19" s="26">
        <f>IF(AN19=0,L19,0)</f>
        <v>0</v>
      </c>
      <c r="AK19" s="26">
        <f>IF(AN19=15,L19,0)</f>
        <v>0</v>
      </c>
      <c r="AL19" s="26">
        <f>IF(AN19=21,L19,0)</f>
        <v>0</v>
      </c>
      <c r="AN19" s="40">
        <v>21</v>
      </c>
      <c r="AO19" s="40">
        <f>I19*0.276818018018018</f>
        <v>0</v>
      </c>
      <c r="AP19" s="40">
        <f>I19*(1-0.276818018018018)</f>
        <v>0</v>
      </c>
      <c r="AQ19" s="41" t="s">
        <v>7</v>
      </c>
      <c r="AV19" s="40">
        <f>AW19+AX19</f>
        <v>0</v>
      </c>
      <c r="AW19" s="40">
        <f>H19*AO19</f>
        <v>0</v>
      </c>
      <c r="AX19" s="40">
        <f>H19*AP19</f>
        <v>0</v>
      </c>
      <c r="AY19" s="43" t="s">
        <v>531</v>
      </c>
      <c r="AZ19" s="43" t="s">
        <v>560</v>
      </c>
      <c r="BA19" s="37" t="s">
        <v>568</v>
      </c>
      <c r="BC19" s="40">
        <f>AW19+AX19</f>
        <v>0</v>
      </c>
      <c r="BD19" s="40">
        <f>I19/(100-BE19)*100</f>
        <v>0</v>
      </c>
      <c r="BE19" s="40">
        <v>0</v>
      </c>
      <c r="BF19" s="40">
        <f>N19</f>
        <v>69.16</v>
      </c>
      <c r="BH19" s="26">
        <f>H19*AO19</f>
        <v>0</v>
      </c>
      <c r="BI19" s="26">
        <f>H19*AP19</f>
        <v>0</v>
      </c>
      <c r="BJ19" s="26">
        <f>H19*I19</f>
        <v>0</v>
      </c>
      <c r="BK19" s="26" t="s">
        <v>573</v>
      </c>
      <c r="BL19" s="40">
        <v>63</v>
      </c>
    </row>
    <row r="20" spans="1:64" x14ac:dyDescent="0.25">
      <c r="A20" s="6"/>
      <c r="C20" s="18" t="s">
        <v>318</v>
      </c>
      <c r="F20" s="21"/>
      <c r="H20" s="27">
        <v>3.64</v>
      </c>
      <c r="N20" s="38"/>
      <c r="O20" s="6"/>
    </row>
    <row r="21" spans="1:64" x14ac:dyDescent="0.25">
      <c r="A21" s="5"/>
      <c r="B21" s="15" t="s">
        <v>154</v>
      </c>
      <c r="C21" s="137" t="s">
        <v>319</v>
      </c>
      <c r="D21" s="138"/>
      <c r="E21" s="138"/>
      <c r="F21" s="138"/>
      <c r="G21" s="24" t="s">
        <v>6</v>
      </c>
      <c r="H21" s="24" t="s">
        <v>6</v>
      </c>
      <c r="I21" s="24" t="s">
        <v>6</v>
      </c>
      <c r="J21" s="46">
        <f>SUM(J22:J24)</f>
        <v>0</v>
      </c>
      <c r="K21" s="46">
        <f>SUM(K22:K24)</f>
        <v>0</v>
      </c>
      <c r="L21" s="46">
        <f>SUM(L22:L24)</f>
        <v>0</v>
      </c>
      <c r="M21" s="37"/>
      <c r="N21" s="50">
        <f>SUM(N22:N24)</f>
        <v>1586</v>
      </c>
      <c r="O21" s="6"/>
      <c r="AI21" s="37"/>
      <c r="AS21" s="46">
        <f>SUM(AJ22:AJ24)</f>
        <v>0</v>
      </c>
      <c r="AT21" s="46">
        <f>SUM(AK22:AK24)</f>
        <v>0</v>
      </c>
      <c r="AU21" s="46">
        <f>SUM(AL22:AL24)</f>
        <v>0</v>
      </c>
    </row>
    <row r="22" spans="1:64" x14ac:dyDescent="0.25">
      <c r="A22" s="4" t="s">
        <v>11</v>
      </c>
      <c r="B22" s="14" t="s">
        <v>155</v>
      </c>
      <c r="C22" s="135" t="s">
        <v>320</v>
      </c>
      <c r="D22" s="136"/>
      <c r="E22" s="136"/>
      <c r="F22" s="136"/>
      <c r="G22" s="14" t="s">
        <v>502</v>
      </c>
      <c r="H22" s="26">
        <v>4</v>
      </c>
      <c r="I22" s="26">
        <v>0</v>
      </c>
      <c r="J22" s="26">
        <f>H22*AO22</f>
        <v>0</v>
      </c>
      <c r="K22" s="26">
        <f>H22*AP22</f>
        <v>0</v>
      </c>
      <c r="L22" s="26">
        <f>H22*I22</f>
        <v>0</v>
      </c>
      <c r="M22" s="26">
        <v>9.0000000000000006E-5</v>
      </c>
      <c r="N22" s="49">
        <f>H22*22</f>
        <v>88</v>
      </c>
      <c r="O22" s="6"/>
      <c r="Z22" s="40">
        <f>IF(AQ22="5",BJ22,0)</f>
        <v>0</v>
      </c>
      <c r="AB22" s="40">
        <f>IF(AQ22="1",BH22,0)</f>
        <v>0</v>
      </c>
      <c r="AC22" s="40">
        <f>IF(AQ22="1",BI22,0)</f>
        <v>0</v>
      </c>
      <c r="AD22" s="40">
        <f>IF(AQ22="7",BH22,0)</f>
        <v>0</v>
      </c>
      <c r="AE22" s="40">
        <f>IF(AQ22="7",BI22,0)</f>
        <v>0</v>
      </c>
      <c r="AF22" s="40">
        <f>IF(AQ22="2",BH22,0)</f>
        <v>0</v>
      </c>
      <c r="AG22" s="40">
        <f>IF(AQ22="2",BI22,0)</f>
        <v>0</v>
      </c>
      <c r="AH22" s="40">
        <f>IF(AQ22="0",BJ22,0)</f>
        <v>0</v>
      </c>
      <c r="AI22" s="37"/>
      <c r="AJ22" s="26">
        <f>IF(AN22=0,L22,0)</f>
        <v>0</v>
      </c>
      <c r="AK22" s="26">
        <f>IF(AN22=15,L22,0)</f>
        <v>0</v>
      </c>
      <c r="AL22" s="26">
        <f>IF(AN22=21,L22,0)</f>
        <v>0</v>
      </c>
      <c r="AN22" s="40">
        <v>21</v>
      </c>
      <c r="AO22" s="40">
        <f>I22*0.71136</f>
        <v>0</v>
      </c>
      <c r="AP22" s="40">
        <f>I22*(1-0.71136)</f>
        <v>0</v>
      </c>
      <c r="AQ22" s="41" t="s">
        <v>13</v>
      </c>
      <c r="AV22" s="40">
        <f>AW22+AX22</f>
        <v>0</v>
      </c>
      <c r="AW22" s="40">
        <f>H22*AO22</f>
        <v>0</v>
      </c>
      <c r="AX22" s="40">
        <f>H22*AP22</f>
        <v>0</v>
      </c>
      <c r="AY22" s="43" t="s">
        <v>532</v>
      </c>
      <c r="AZ22" s="43" t="s">
        <v>561</v>
      </c>
      <c r="BA22" s="37" t="s">
        <v>568</v>
      </c>
      <c r="BC22" s="40">
        <f>AW22+AX22</f>
        <v>0</v>
      </c>
      <c r="BD22" s="40">
        <f>I22/(100-BE22)*100</f>
        <v>0</v>
      </c>
      <c r="BE22" s="40">
        <v>0</v>
      </c>
      <c r="BF22" s="40">
        <f>N22</f>
        <v>88</v>
      </c>
      <c r="BH22" s="26">
        <f>H22*AO22</f>
        <v>0</v>
      </c>
      <c r="BI22" s="26">
        <f>H22*AP22</f>
        <v>0</v>
      </c>
      <c r="BJ22" s="26">
        <f>H22*I22</f>
        <v>0</v>
      </c>
      <c r="BK22" s="26" t="s">
        <v>573</v>
      </c>
      <c r="BL22" s="40">
        <v>713</v>
      </c>
    </row>
    <row r="23" spans="1:64" x14ac:dyDescent="0.25">
      <c r="A23" s="4" t="s">
        <v>12</v>
      </c>
      <c r="B23" s="14" t="s">
        <v>156</v>
      </c>
      <c r="C23" s="135" t="s">
        <v>321</v>
      </c>
      <c r="D23" s="136"/>
      <c r="E23" s="136"/>
      <c r="F23" s="136"/>
      <c r="G23" s="14" t="s">
        <v>502</v>
      </c>
      <c r="H23" s="26">
        <v>38</v>
      </c>
      <c r="I23" s="26">
        <v>0</v>
      </c>
      <c r="J23" s="26">
        <f>H23*AO23</f>
        <v>0</v>
      </c>
      <c r="K23" s="26">
        <f>H23*AP23</f>
        <v>0</v>
      </c>
      <c r="L23" s="26">
        <f>H23*I23</f>
        <v>0</v>
      </c>
      <c r="M23" s="26">
        <v>1.2999999999999999E-4</v>
      </c>
      <c r="N23" s="49">
        <f>H23*23</f>
        <v>874</v>
      </c>
      <c r="O23" s="6"/>
      <c r="Z23" s="40">
        <f>IF(AQ23="5",BJ23,0)</f>
        <v>0</v>
      </c>
      <c r="AB23" s="40">
        <f>IF(AQ23="1",BH23,0)</f>
        <v>0</v>
      </c>
      <c r="AC23" s="40">
        <f>IF(AQ23="1",BI23,0)</f>
        <v>0</v>
      </c>
      <c r="AD23" s="40">
        <f>IF(AQ23="7",BH23,0)</f>
        <v>0</v>
      </c>
      <c r="AE23" s="40">
        <f>IF(AQ23="7",BI23,0)</f>
        <v>0</v>
      </c>
      <c r="AF23" s="40">
        <f>IF(AQ23="2",BH23,0)</f>
        <v>0</v>
      </c>
      <c r="AG23" s="40">
        <f>IF(AQ23="2",BI23,0)</f>
        <v>0</v>
      </c>
      <c r="AH23" s="40">
        <f>IF(AQ23="0",BJ23,0)</f>
        <v>0</v>
      </c>
      <c r="AI23" s="37"/>
      <c r="AJ23" s="26">
        <f>IF(AN23=0,L23,0)</f>
        <v>0</v>
      </c>
      <c r="AK23" s="26">
        <f>IF(AN23=15,L23,0)</f>
        <v>0</v>
      </c>
      <c r="AL23" s="26">
        <f>IF(AN23=21,L23,0)</f>
        <v>0</v>
      </c>
      <c r="AN23" s="40">
        <v>21</v>
      </c>
      <c r="AO23" s="40">
        <f>I23*0.739533333333333</f>
        <v>0</v>
      </c>
      <c r="AP23" s="40">
        <f>I23*(1-0.739533333333333)</f>
        <v>0</v>
      </c>
      <c r="AQ23" s="41" t="s">
        <v>13</v>
      </c>
      <c r="AV23" s="40">
        <f>AW23+AX23</f>
        <v>0</v>
      </c>
      <c r="AW23" s="40">
        <f>H23*AO23</f>
        <v>0</v>
      </c>
      <c r="AX23" s="40">
        <f>H23*AP23</f>
        <v>0</v>
      </c>
      <c r="AY23" s="43" t="s">
        <v>532</v>
      </c>
      <c r="AZ23" s="43" t="s">
        <v>561</v>
      </c>
      <c r="BA23" s="37" t="s">
        <v>568</v>
      </c>
      <c r="BC23" s="40">
        <f>AW23+AX23</f>
        <v>0</v>
      </c>
      <c r="BD23" s="40">
        <f>I23/(100-BE23)*100</f>
        <v>0</v>
      </c>
      <c r="BE23" s="40">
        <v>0</v>
      </c>
      <c r="BF23" s="40">
        <f>N23</f>
        <v>874</v>
      </c>
      <c r="BH23" s="26">
        <f>H23*AO23</f>
        <v>0</v>
      </c>
      <c r="BI23" s="26">
        <f>H23*AP23</f>
        <v>0</v>
      </c>
      <c r="BJ23" s="26">
        <f>H23*I23</f>
        <v>0</v>
      </c>
      <c r="BK23" s="26" t="s">
        <v>573</v>
      </c>
      <c r="BL23" s="40">
        <v>713</v>
      </c>
    </row>
    <row r="24" spans="1:64" x14ac:dyDescent="0.25">
      <c r="A24" s="4" t="s">
        <v>13</v>
      </c>
      <c r="B24" s="14" t="s">
        <v>157</v>
      </c>
      <c r="C24" s="135" t="s">
        <v>322</v>
      </c>
      <c r="D24" s="136"/>
      <c r="E24" s="136"/>
      <c r="F24" s="136"/>
      <c r="G24" s="14" t="s">
        <v>502</v>
      </c>
      <c r="H24" s="26">
        <v>26</v>
      </c>
      <c r="I24" s="26">
        <v>0</v>
      </c>
      <c r="J24" s="26">
        <f>H24*AO24</f>
        <v>0</v>
      </c>
      <c r="K24" s="26">
        <f>H24*AP24</f>
        <v>0</v>
      </c>
      <c r="L24" s="26">
        <f>H24*I24</f>
        <v>0</v>
      </c>
      <c r="M24" s="26">
        <v>1.6000000000000001E-4</v>
      </c>
      <c r="N24" s="49">
        <f>H24*24</f>
        <v>624</v>
      </c>
      <c r="O24" s="6"/>
      <c r="Z24" s="40">
        <f>IF(AQ24="5",BJ24,0)</f>
        <v>0</v>
      </c>
      <c r="AB24" s="40">
        <f>IF(AQ24="1",BH24,0)</f>
        <v>0</v>
      </c>
      <c r="AC24" s="40">
        <f>IF(AQ24="1",BI24,0)</f>
        <v>0</v>
      </c>
      <c r="AD24" s="40">
        <f>IF(AQ24="7",BH24,0)</f>
        <v>0</v>
      </c>
      <c r="AE24" s="40">
        <f>IF(AQ24="7",BI24,0)</f>
        <v>0</v>
      </c>
      <c r="AF24" s="40">
        <f>IF(AQ24="2",BH24,0)</f>
        <v>0</v>
      </c>
      <c r="AG24" s="40">
        <f>IF(AQ24="2",BI24,0)</f>
        <v>0</v>
      </c>
      <c r="AH24" s="40">
        <f>IF(AQ24="0",BJ24,0)</f>
        <v>0</v>
      </c>
      <c r="AI24" s="37"/>
      <c r="AJ24" s="26">
        <f>IF(AN24=0,L24,0)</f>
        <v>0</v>
      </c>
      <c r="AK24" s="26">
        <f>IF(AN24=15,L24,0)</f>
        <v>0</v>
      </c>
      <c r="AL24" s="26">
        <f>IF(AN24=21,L24,0)</f>
        <v>0</v>
      </c>
      <c r="AN24" s="40">
        <v>21</v>
      </c>
      <c r="AO24" s="40">
        <f>I24*0.774705882352941</f>
        <v>0</v>
      </c>
      <c r="AP24" s="40">
        <f>I24*(1-0.774705882352941)</f>
        <v>0</v>
      </c>
      <c r="AQ24" s="41" t="s">
        <v>13</v>
      </c>
      <c r="AV24" s="40">
        <f>AW24+AX24</f>
        <v>0</v>
      </c>
      <c r="AW24" s="40">
        <f>H24*AO24</f>
        <v>0</v>
      </c>
      <c r="AX24" s="40">
        <f>H24*AP24</f>
        <v>0</v>
      </c>
      <c r="AY24" s="43" t="s">
        <v>532</v>
      </c>
      <c r="AZ24" s="43" t="s">
        <v>561</v>
      </c>
      <c r="BA24" s="37" t="s">
        <v>568</v>
      </c>
      <c r="BC24" s="40">
        <f>AW24+AX24</f>
        <v>0</v>
      </c>
      <c r="BD24" s="40">
        <f>I24/(100-BE24)*100</f>
        <v>0</v>
      </c>
      <c r="BE24" s="40">
        <v>0</v>
      </c>
      <c r="BF24" s="40">
        <f>N24</f>
        <v>624</v>
      </c>
      <c r="BH24" s="26">
        <f>H24*AO24</f>
        <v>0</v>
      </c>
      <c r="BI24" s="26">
        <f>H24*AP24</f>
        <v>0</v>
      </c>
      <c r="BJ24" s="26">
        <f>H24*I24</f>
        <v>0</v>
      </c>
      <c r="BK24" s="26" t="s">
        <v>573</v>
      </c>
      <c r="BL24" s="40">
        <v>713</v>
      </c>
    </row>
    <row r="25" spans="1:64" x14ac:dyDescent="0.25">
      <c r="A25" s="5"/>
      <c r="B25" s="15" t="s">
        <v>158</v>
      </c>
      <c r="C25" s="137" t="s">
        <v>323</v>
      </c>
      <c r="D25" s="138"/>
      <c r="E25" s="138"/>
      <c r="F25" s="138"/>
      <c r="G25" s="24" t="s">
        <v>6</v>
      </c>
      <c r="H25" s="24" t="s">
        <v>6</v>
      </c>
      <c r="I25" s="24" t="s">
        <v>6</v>
      </c>
      <c r="J25" s="46">
        <f>SUM(J26:J27)</f>
        <v>0</v>
      </c>
      <c r="K25" s="46">
        <f>SUM(K26:K27)</f>
        <v>0</v>
      </c>
      <c r="L25" s="46">
        <f>SUM(L26:L27)</f>
        <v>0</v>
      </c>
      <c r="M25" s="37"/>
      <c r="N25" s="50">
        <f>SUM(N26:N27)</f>
        <v>53</v>
      </c>
      <c r="O25" s="6"/>
      <c r="AI25" s="37"/>
      <c r="AS25" s="46">
        <f>SUM(AJ26:AJ27)</f>
        <v>0</v>
      </c>
      <c r="AT25" s="46">
        <f>SUM(AK26:AK27)</f>
        <v>0</v>
      </c>
      <c r="AU25" s="46">
        <f>SUM(AL26:AL27)</f>
        <v>0</v>
      </c>
    </row>
    <row r="26" spans="1:64" x14ac:dyDescent="0.25">
      <c r="A26" s="4" t="s">
        <v>14</v>
      </c>
      <c r="B26" s="14" t="s">
        <v>159</v>
      </c>
      <c r="C26" s="135" t="s">
        <v>324</v>
      </c>
      <c r="D26" s="136"/>
      <c r="E26" s="136"/>
      <c r="F26" s="136"/>
      <c r="G26" s="14" t="s">
        <v>500</v>
      </c>
      <c r="H26" s="26">
        <v>1</v>
      </c>
      <c r="I26" s="26">
        <v>0</v>
      </c>
      <c r="J26" s="26">
        <f>H26*AO26</f>
        <v>0</v>
      </c>
      <c r="K26" s="26">
        <f>H26*AP26</f>
        <v>0</v>
      </c>
      <c r="L26" s="26">
        <f>H26*I26</f>
        <v>0</v>
      </c>
      <c r="M26" s="26">
        <v>1.2E-4</v>
      </c>
      <c r="N26" s="49">
        <f>H26*26</f>
        <v>26</v>
      </c>
      <c r="O26" s="6"/>
      <c r="Z26" s="40">
        <f>IF(AQ26="5",BJ26,0)</f>
        <v>0</v>
      </c>
      <c r="AB26" s="40">
        <f>IF(AQ26="1",BH26,0)</f>
        <v>0</v>
      </c>
      <c r="AC26" s="40">
        <f>IF(AQ26="1",BI26,0)</f>
        <v>0</v>
      </c>
      <c r="AD26" s="40">
        <f>IF(AQ26="7",BH26,0)</f>
        <v>0</v>
      </c>
      <c r="AE26" s="40">
        <f>IF(AQ26="7",BI26,0)</f>
        <v>0</v>
      </c>
      <c r="AF26" s="40">
        <f>IF(AQ26="2",BH26,0)</f>
        <v>0</v>
      </c>
      <c r="AG26" s="40">
        <f>IF(AQ26="2",BI26,0)</f>
        <v>0</v>
      </c>
      <c r="AH26" s="40">
        <f>IF(AQ26="0",BJ26,0)</f>
        <v>0</v>
      </c>
      <c r="AI26" s="37"/>
      <c r="AJ26" s="26">
        <f>IF(AN26=0,L26,0)</f>
        <v>0</v>
      </c>
      <c r="AK26" s="26">
        <f>IF(AN26=15,L26,0)</f>
        <v>0</v>
      </c>
      <c r="AL26" s="26">
        <f>IF(AN26=21,L26,0)</f>
        <v>0</v>
      </c>
      <c r="AN26" s="40">
        <v>21</v>
      </c>
      <c r="AO26" s="40">
        <f>I26*0.191244979919679</f>
        <v>0</v>
      </c>
      <c r="AP26" s="40">
        <f>I26*(1-0.191244979919679)</f>
        <v>0</v>
      </c>
      <c r="AQ26" s="41" t="s">
        <v>13</v>
      </c>
      <c r="AV26" s="40">
        <f>AW26+AX26</f>
        <v>0</v>
      </c>
      <c r="AW26" s="40">
        <f>H26*AO26</f>
        <v>0</v>
      </c>
      <c r="AX26" s="40">
        <f>H26*AP26</f>
        <v>0</v>
      </c>
      <c r="AY26" s="43" t="s">
        <v>533</v>
      </c>
      <c r="AZ26" s="43" t="s">
        <v>562</v>
      </c>
      <c r="BA26" s="37" t="s">
        <v>568</v>
      </c>
      <c r="BC26" s="40">
        <f>AW26+AX26</f>
        <v>0</v>
      </c>
      <c r="BD26" s="40">
        <f>I26/(100-BE26)*100</f>
        <v>0</v>
      </c>
      <c r="BE26" s="40">
        <v>0</v>
      </c>
      <c r="BF26" s="40">
        <f>N26</f>
        <v>26</v>
      </c>
      <c r="BH26" s="26">
        <f>H26*AO26</f>
        <v>0</v>
      </c>
      <c r="BI26" s="26">
        <f>H26*AP26</f>
        <v>0</v>
      </c>
      <c r="BJ26" s="26">
        <f>H26*I26</f>
        <v>0</v>
      </c>
      <c r="BK26" s="26" t="s">
        <v>573</v>
      </c>
      <c r="BL26" s="40">
        <v>721</v>
      </c>
    </row>
    <row r="27" spans="1:64" x14ac:dyDescent="0.25">
      <c r="A27" s="4" t="s">
        <v>15</v>
      </c>
      <c r="B27" s="14" t="s">
        <v>160</v>
      </c>
      <c r="C27" s="135" t="s">
        <v>325</v>
      </c>
      <c r="D27" s="136"/>
      <c r="E27" s="136"/>
      <c r="F27" s="136"/>
      <c r="G27" s="14" t="s">
        <v>502</v>
      </c>
      <c r="H27" s="26">
        <v>1</v>
      </c>
      <c r="I27" s="26">
        <v>0</v>
      </c>
      <c r="J27" s="26">
        <f>H27*AO27</f>
        <v>0</v>
      </c>
      <c r="K27" s="26">
        <f>H27*AP27</f>
        <v>0</v>
      </c>
      <c r="L27" s="26">
        <f>H27*I27</f>
        <v>0</v>
      </c>
      <c r="M27" s="26">
        <v>3.8000000000000002E-4</v>
      </c>
      <c r="N27" s="49">
        <f>H27*27</f>
        <v>27</v>
      </c>
      <c r="O27" s="6"/>
      <c r="Z27" s="40">
        <f>IF(AQ27="5",BJ27,0)</f>
        <v>0</v>
      </c>
      <c r="AB27" s="40">
        <f>IF(AQ27="1",BH27,0)</f>
        <v>0</v>
      </c>
      <c r="AC27" s="40">
        <f>IF(AQ27="1",BI27,0)</f>
        <v>0</v>
      </c>
      <c r="AD27" s="40">
        <f>IF(AQ27="7",BH27,0)</f>
        <v>0</v>
      </c>
      <c r="AE27" s="40">
        <f>IF(AQ27="7",BI27,0)</f>
        <v>0</v>
      </c>
      <c r="AF27" s="40">
        <f>IF(AQ27="2",BH27,0)</f>
        <v>0</v>
      </c>
      <c r="AG27" s="40">
        <f>IF(AQ27="2",BI27,0)</f>
        <v>0</v>
      </c>
      <c r="AH27" s="40">
        <f>IF(AQ27="0",BJ27,0)</f>
        <v>0</v>
      </c>
      <c r="AI27" s="37"/>
      <c r="AJ27" s="26">
        <f>IF(AN27=0,L27,0)</f>
        <v>0</v>
      </c>
      <c r="AK27" s="26">
        <f>IF(AN27=15,L27,0)</f>
        <v>0</v>
      </c>
      <c r="AL27" s="26">
        <f>IF(AN27=21,L27,0)</f>
        <v>0</v>
      </c>
      <c r="AN27" s="40">
        <v>21</v>
      </c>
      <c r="AO27" s="40">
        <f>I27*0.357330677290837</f>
        <v>0</v>
      </c>
      <c r="AP27" s="40">
        <f>I27*(1-0.357330677290837)</f>
        <v>0</v>
      </c>
      <c r="AQ27" s="41" t="s">
        <v>13</v>
      </c>
      <c r="AV27" s="40">
        <f>AW27+AX27</f>
        <v>0</v>
      </c>
      <c r="AW27" s="40">
        <f>H27*AO27</f>
        <v>0</v>
      </c>
      <c r="AX27" s="40">
        <f>H27*AP27</f>
        <v>0</v>
      </c>
      <c r="AY27" s="43" t="s">
        <v>533</v>
      </c>
      <c r="AZ27" s="43" t="s">
        <v>562</v>
      </c>
      <c r="BA27" s="37" t="s">
        <v>568</v>
      </c>
      <c r="BC27" s="40">
        <f>AW27+AX27</f>
        <v>0</v>
      </c>
      <c r="BD27" s="40">
        <f>I27/(100-BE27)*100</f>
        <v>0</v>
      </c>
      <c r="BE27" s="40">
        <v>0</v>
      </c>
      <c r="BF27" s="40">
        <f>N27</f>
        <v>27</v>
      </c>
      <c r="BH27" s="26">
        <f>H27*AO27</f>
        <v>0</v>
      </c>
      <c r="BI27" s="26">
        <f>H27*AP27</f>
        <v>0</v>
      </c>
      <c r="BJ27" s="26">
        <f>H27*I27</f>
        <v>0</v>
      </c>
      <c r="BK27" s="26" t="s">
        <v>573</v>
      </c>
      <c r="BL27" s="40">
        <v>721</v>
      </c>
    </row>
    <row r="28" spans="1:64" x14ac:dyDescent="0.25">
      <c r="A28" s="5"/>
      <c r="B28" s="15" t="s">
        <v>161</v>
      </c>
      <c r="C28" s="137" t="s">
        <v>326</v>
      </c>
      <c r="D28" s="138"/>
      <c r="E28" s="138"/>
      <c r="F28" s="138"/>
      <c r="G28" s="24" t="s">
        <v>6</v>
      </c>
      <c r="H28" s="24" t="s">
        <v>6</v>
      </c>
      <c r="I28" s="24" t="s">
        <v>6</v>
      </c>
      <c r="J28" s="46">
        <f>SUM(J29:J36)</f>
        <v>0</v>
      </c>
      <c r="K28" s="46">
        <f>SUM(K29:K36)</f>
        <v>0</v>
      </c>
      <c r="L28" s="46">
        <f>SUM(L29:L36)</f>
        <v>0</v>
      </c>
      <c r="M28" s="37"/>
      <c r="N28" s="50">
        <f>SUM(N29:N36)</f>
        <v>608</v>
      </c>
      <c r="O28" s="6"/>
      <c r="AI28" s="37"/>
      <c r="AS28" s="46">
        <f>SUM(AJ29:AJ36)</f>
        <v>0</v>
      </c>
      <c r="AT28" s="46">
        <f>SUM(AK29:AK36)</f>
        <v>0</v>
      </c>
      <c r="AU28" s="46">
        <f>SUM(AL29:AL36)</f>
        <v>0</v>
      </c>
    </row>
    <row r="29" spans="1:64" x14ac:dyDescent="0.25">
      <c r="A29" s="4" t="s">
        <v>16</v>
      </c>
      <c r="B29" s="14" t="s">
        <v>162</v>
      </c>
      <c r="C29" s="135" t="s">
        <v>327</v>
      </c>
      <c r="D29" s="136"/>
      <c r="E29" s="136"/>
      <c r="F29" s="136"/>
      <c r="G29" s="14" t="s">
        <v>500</v>
      </c>
      <c r="H29" s="26">
        <v>2</v>
      </c>
      <c r="I29" s="26">
        <v>0</v>
      </c>
      <c r="J29" s="26">
        <f t="shared" ref="J29:J36" si="0">H29*AO29</f>
        <v>0</v>
      </c>
      <c r="K29" s="26">
        <f t="shared" ref="K29:K36" si="1">H29*AP29</f>
        <v>0</v>
      </c>
      <c r="L29" s="26">
        <f t="shared" ref="L29:L36" si="2">H29*I29</f>
        <v>0</v>
      </c>
      <c r="M29" s="26">
        <v>0</v>
      </c>
      <c r="N29" s="49">
        <f>H29*29</f>
        <v>58</v>
      </c>
      <c r="O29" s="6"/>
      <c r="Z29" s="40">
        <f t="shared" ref="Z29:Z36" si="3">IF(AQ29="5",BJ29,0)</f>
        <v>0</v>
      </c>
      <c r="AB29" s="40">
        <f t="shared" ref="AB29:AB36" si="4">IF(AQ29="1",BH29,0)</f>
        <v>0</v>
      </c>
      <c r="AC29" s="40">
        <f t="shared" ref="AC29:AC36" si="5">IF(AQ29="1",BI29,0)</f>
        <v>0</v>
      </c>
      <c r="AD29" s="40">
        <f t="shared" ref="AD29:AD36" si="6">IF(AQ29="7",BH29,0)</f>
        <v>0</v>
      </c>
      <c r="AE29" s="40">
        <f t="shared" ref="AE29:AE36" si="7">IF(AQ29="7",BI29,0)</f>
        <v>0</v>
      </c>
      <c r="AF29" s="40">
        <f t="shared" ref="AF29:AF36" si="8">IF(AQ29="2",BH29,0)</f>
        <v>0</v>
      </c>
      <c r="AG29" s="40">
        <f t="shared" ref="AG29:AG36" si="9">IF(AQ29="2",BI29,0)</f>
        <v>0</v>
      </c>
      <c r="AH29" s="40">
        <f t="shared" ref="AH29:AH36" si="10">IF(AQ29="0",BJ29,0)</f>
        <v>0</v>
      </c>
      <c r="AI29" s="37"/>
      <c r="AJ29" s="26">
        <f t="shared" ref="AJ29:AJ36" si="11">IF(AN29=0,L29,0)</f>
        <v>0</v>
      </c>
      <c r="AK29" s="26">
        <f t="shared" ref="AK29:AK36" si="12">IF(AN29=15,L29,0)</f>
        <v>0</v>
      </c>
      <c r="AL29" s="26">
        <f t="shared" ref="AL29:AL36" si="13">IF(AN29=21,L29,0)</f>
        <v>0</v>
      </c>
      <c r="AN29" s="40">
        <v>21</v>
      </c>
      <c r="AO29" s="40">
        <f>I29*0</f>
        <v>0</v>
      </c>
      <c r="AP29" s="40">
        <f>I29*(1-0)</f>
        <v>0</v>
      </c>
      <c r="AQ29" s="41" t="s">
        <v>13</v>
      </c>
      <c r="AV29" s="40">
        <f t="shared" ref="AV29:AV36" si="14">AW29+AX29</f>
        <v>0</v>
      </c>
      <c r="AW29" s="40">
        <f t="shared" ref="AW29:AW36" si="15">H29*AO29</f>
        <v>0</v>
      </c>
      <c r="AX29" s="40">
        <f t="shared" ref="AX29:AX36" si="16">H29*AP29</f>
        <v>0</v>
      </c>
      <c r="AY29" s="43" t="s">
        <v>534</v>
      </c>
      <c r="AZ29" s="43" t="s">
        <v>562</v>
      </c>
      <c r="BA29" s="37" t="s">
        <v>568</v>
      </c>
      <c r="BC29" s="40">
        <f t="shared" ref="BC29:BC36" si="17">AW29+AX29</f>
        <v>0</v>
      </c>
      <c r="BD29" s="40">
        <f t="shared" ref="BD29:BD36" si="18">I29/(100-BE29)*100</f>
        <v>0</v>
      </c>
      <c r="BE29" s="40">
        <v>0</v>
      </c>
      <c r="BF29" s="40">
        <f t="shared" ref="BF29:BF36" si="19">N29</f>
        <v>58</v>
      </c>
      <c r="BH29" s="26">
        <f t="shared" ref="BH29:BH36" si="20">H29*AO29</f>
        <v>0</v>
      </c>
      <c r="BI29" s="26">
        <f t="shared" ref="BI29:BI36" si="21">H29*AP29</f>
        <v>0</v>
      </c>
      <c r="BJ29" s="26">
        <f t="shared" ref="BJ29:BJ36" si="22">H29*I29</f>
        <v>0</v>
      </c>
      <c r="BK29" s="26" t="s">
        <v>573</v>
      </c>
      <c r="BL29" s="40">
        <v>722</v>
      </c>
    </row>
    <row r="30" spans="1:64" x14ac:dyDescent="0.25">
      <c r="A30" s="4" t="s">
        <v>17</v>
      </c>
      <c r="B30" s="14" t="s">
        <v>163</v>
      </c>
      <c r="C30" s="135" t="s">
        <v>328</v>
      </c>
      <c r="D30" s="136"/>
      <c r="E30" s="136"/>
      <c r="F30" s="136"/>
      <c r="G30" s="14" t="s">
        <v>500</v>
      </c>
      <c r="H30" s="26">
        <v>1</v>
      </c>
      <c r="I30" s="26">
        <v>0</v>
      </c>
      <c r="J30" s="26">
        <f t="shared" si="0"/>
        <v>0</v>
      </c>
      <c r="K30" s="26">
        <f t="shared" si="1"/>
        <v>0</v>
      </c>
      <c r="L30" s="26">
        <f t="shared" si="2"/>
        <v>0</v>
      </c>
      <c r="M30" s="26">
        <v>3.0000000000000001E-5</v>
      </c>
      <c r="N30" s="49">
        <f>H30*30</f>
        <v>30</v>
      </c>
      <c r="O30" s="6"/>
      <c r="Z30" s="40">
        <f t="shared" si="3"/>
        <v>0</v>
      </c>
      <c r="AB30" s="40">
        <f t="shared" si="4"/>
        <v>0</v>
      </c>
      <c r="AC30" s="40">
        <f t="shared" si="5"/>
        <v>0</v>
      </c>
      <c r="AD30" s="40">
        <f t="shared" si="6"/>
        <v>0</v>
      </c>
      <c r="AE30" s="40">
        <f t="shared" si="7"/>
        <v>0</v>
      </c>
      <c r="AF30" s="40">
        <f t="shared" si="8"/>
        <v>0</v>
      </c>
      <c r="AG30" s="40">
        <f t="shared" si="9"/>
        <v>0</v>
      </c>
      <c r="AH30" s="40">
        <f t="shared" si="10"/>
        <v>0</v>
      </c>
      <c r="AI30" s="37"/>
      <c r="AJ30" s="26">
        <f t="shared" si="11"/>
        <v>0</v>
      </c>
      <c r="AK30" s="26">
        <f t="shared" si="12"/>
        <v>0</v>
      </c>
      <c r="AL30" s="26">
        <f t="shared" si="13"/>
        <v>0</v>
      </c>
      <c r="AN30" s="40">
        <v>21</v>
      </c>
      <c r="AO30" s="40">
        <f>I30*0.0834591194968553</f>
        <v>0</v>
      </c>
      <c r="AP30" s="40">
        <f>I30*(1-0.0834591194968553)</f>
        <v>0</v>
      </c>
      <c r="AQ30" s="41" t="s">
        <v>13</v>
      </c>
      <c r="AV30" s="40">
        <f t="shared" si="14"/>
        <v>0</v>
      </c>
      <c r="AW30" s="40">
        <f t="shared" si="15"/>
        <v>0</v>
      </c>
      <c r="AX30" s="40">
        <f t="shared" si="16"/>
        <v>0</v>
      </c>
      <c r="AY30" s="43" t="s">
        <v>534</v>
      </c>
      <c r="AZ30" s="43" t="s">
        <v>562</v>
      </c>
      <c r="BA30" s="37" t="s">
        <v>568</v>
      </c>
      <c r="BC30" s="40">
        <f t="shared" si="17"/>
        <v>0</v>
      </c>
      <c r="BD30" s="40">
        <f t="shared" si="18"/>
        <v>0</v>
      </c>
      <c r="BE30" s="40">
        <v>0</v>
      </c>
      <c r="BF30" s="40">
        <f t="shared" si="19"/>
        <v>30</v>
      </c>
      <c r="BH30" s="26">
        <f t="shared" si="20"/>
        <v>0</v>
      </c>
      <c r="BI30" s="26">
        <f t="shared" si="21"/>
        <v>0</v>
      </c>
      <c r="BJ30" s="26">
        <f t="shared" si="22"/>
        <v>0</v>
      </c>
      <c r="BK30" s="26" t="s">
        <v>573</v>
      </c>
      <c r="BL30" s="40">
        <v>722</v>
      </c>
    </row>
    <row r="31" spans="1:64" x14ac:dyDescent="0.25">
      <c r="A31" s="4" t="s">
        <v>18</v>
      </c>
      <c r="B31" s="14" t="s">
        <v>164</v>
      </c>
      <c r="C31" s="135" t="s">
        <v>329</v>
      </c>
      <c r="D31" s="136"/>
      <c r="E31" s="136"/>
      <c r="F31" s="136"/>
      <c r="G31" s="14" t="s">
        <v>502</v>
      </c>
      <c r="H31" s="26">
        <v>2</v>
      </c>
      <c r="I31" s="26">
        <v>0</v>
      </c>
      <c r="J31" s="26">
        <f t="shared" si="0"/>
        <v>0</v>
      </c>
      <c r="K31" s="26">
        <f t="shared" si="1"/>
        <v>0</v>
      </c>
      <c r="L31" s="26">
        <f t="shared" si="2"/>
        <v>0</v>
      </c>
      <c r="M31" s="26">
        <v>4.0999999999999999E-4</v>
      </c>
      <c r="N31" s="49">
        <f>H31*31</f>
        <v>62</v>
      </c>
      <c r="O31" s="6"/>
      <c r="Z31" s="40">
        <f t="shared" si="3"/>
        <v>0</v>
      </c>
      <c r="AB31" s="40">
        <f t="shared" si="4"/>
        <v>0</v>
      </c>
      <c r="AC31" s="40">
        <f t="shared" si="5"/>
        <v>0</v>
      </c>
      <c r="AD31" s="40">
        <f t="shared" si="6"/>
        <v>0</v>
      </c>
      <c r="AE31" s="40">
        <f t="shared" si="7"/>
        <v>0</v>
      </c>
      <c r="AF31" s="40">
        <f t="shared" si="8"/>
        <v>0</v>
      </c>
      <c r="AG31" s="40">
        <f t="shared" si="9"/>
        <v>0</v>
      </c>
      <c r="AH31" s="40">
        <f t="shared" si="10"/>
        <v>0</v>
      </c>
      <c r="AI31" s="37"/>
      <c r="AJ31" s="26">
        <f t="shared" si="11"/>
        <v>0</v>
      </c>
      <c r="AK31" s="26">
        <f t="shared" si="12"/>
        <v>0</v>
      </c>
      <c r="AL31" s="26">
        <f t="shared" si="13"/>
        <v>0</v>
      </c>
      <c r="AN31" s="40">
        <v>21</v>
      </c>
      <c r="AO31" s="40">
        <f>I31*0.334142857142857</f>
        <v>0</v>
      </c>
      <c r="AP31" s="40">
        <f>I31*(1-0.334142857142857)</f>
        <v>0</v>
      </c>
      <c r="AQ31" s="41" t="s">
        <v>13</v>
      </c>
      <c r="AV31" s="40">
        <f t="shared" si="14"/>
        <v>0</v>
      </c>
      <c r="AW31" s="40">
        <f t="shared" si="15"/>
        <v>0</v>
      </c>
      <c r="AX31" s="40">
        <f t="shared" si="16"/>
        <v>0</v>
      </c>
      <c r="AY31" s="43" t="s">
        <v>534</v>
      </c>
      <c r="AZ31" s="43" t="s">
        <v>562</v>
      </c>
      <c r="BA31" s="37" t="s">
        <v>568</v>
      </c>
      <c r="BC31" s="40">
        <f t="shared" si="17"/>
        <v>0</v>
      </c>
      <c r="BD31" s="40">
        <f t="shared" si="18"/>
        <v>0</v>
      </c>
      <c r="BE31" s="40">
        <v>0</v>
      </c>
      <c r="BF31" s="40">
        <f t="shared" si="19"/>
        <v>62</v>
      </c>
      <c r="BH31" s="26">
        <f t="shared" si="20"/>
        <v>0</v>
      </c>
      <c r="BI31" s="26">
        <f t="shared" si="21"/>
        <v>0</v>
      </c>
      <c r="BJ31" s="26">
        <f t="shared" si="22"/>
        <v>0</v>
      </c>
      <c r="BK31" s="26" t="s">
        <v>573</v>
      </c>
      <c r="BL31" s="40">
        <v>722</v>
      </c>
    </row>
    <row r="32" spans="1:64" x14ac:dyDescent="0.25">
      <c r="A32" s="4" t="s">
        <v>19</v>
      </c>
      <c r="B32" s="14" t="s">
        <v>165</v>
      </c>
      <c r="C32" s="135" t="s">
        <v>330</v>
      </c>
      <c r="D32" s="136"/>
      <c r="E32" s="136"/>
      <c r="F32" s="136"/>
      <c r="G32" s="14" t="s">
        <v>502</v>
      </c>
      <c r="H32" s="26">
        <v>10</v>
      </c>
      <c r="I32" s="26">
        <v>0</v>
      </c>
      <c r="J32" s="26">
        <f t="shared" si="0"/>
        <v>0</v>
      </c>
      <c r="K32" s="26">
        <f t="shared" si="1"/>
        <v>0</v>
      </c>
      <c r="L32" s="26">
        <f t="shared" si="2"/>
        <v>0</v>
      </c>
      <c r="M32" s="26">
        <v>5.2999999999999998E-4</v>
      </c>
      <c r="N32" s="49">
        <f>H32*32</f>
        <v>320</v>
      </c>
      <c r="O32" s="6"/>
      <c r="Z32" s="40">
        <f t="shared" si="3"/>
        <v>0</v>
      </c>
      <c r="AB32" s="40">
        <f t="shared" si="4"/>
        <v>0</v>
      </c>
      <c r="AC32" s="40">
        <f t="shared" si="5"/>
        <v>0</v>
      </c>
      <c r="AD32" s="40">
        <f t="shared" si="6"/>
        <v>0</v>
      </c>
      <c r="AE32" s="40">
        <f t="shared" si="7"/>
        <v>0</v>
      </c>
      <c r="AF32" s="40">
        <f t="shared" si="8"/>
        <v>0</v>
      </c>
      <c r="AG32" s="40">
        <f t="shared" si="9"/>
        <v>0</v>
      </c>
      <c r="AH32" s="40">
        <f t="shared" si="10"/>
        <v>0</v>
      </c>
      <c r="AI32" s="37"/>
      <c r="AJ32" s="26">
        <f t="shared" si="11"/>
        <v>0</v>
      </c>
      <c r="AK32" s="26">
        <f t="shared" si="12"/>
        <v>0</v>
      </c>
      <c r="AL32" s="26">
        <f t="shared" si="13"/>
        <v>0</v>
      </c>
      <c r="AN32" s="40">
        <v>21</v>
      </c>
      <c r="AO32" s="40">
        <f>I32*0.410331384015595</f>
        <v>0</v>
      </c>
      <c r="AP32" s="40">
        <f>I32*(1-0.410331384015595)</f>
        <v>0</v>
      </c>
      <c r="AQ32" s="41" t="s">
        <v>13</v>
      </c>
      <c r="AV32" s="40">
        <f t="shared" si="14"/>
        <v>0</v>
      </c>
      <c r="AW32" s="40">
        <f t="shared" si="15"/>
        <v>0</v>
      </c>
      <c r="AX32" s="40">
        <f t="shared" si="16"/>
        <v>0</v>
      </c>
      <c r="AY32" s="43" t="s">
        <v>534</v>
      </c>
      <c r="AZ32" s="43" t="s">
        <v>562</v>
      </c>
      <c r="BA32" s="37" t="s">
        <v>568</v>
      </c>
      <c r="BC32" s="40">
        <f t="shared" si="17"/>
        <v>0</v>
      </c>
      <c r="BD32" s="40">
        <f t="shared" si="18"/>
        <v>0</v>
      </c>
      <c r="BE32" s="40">
        <v>0</v>
      </c>
      <c r="BF32" s="40">
        <f t="shared" si="19"/>
        <v>320</v>
      </c>
      <c r="BH32" s="26">
        <f t="shared" si="20"/>
        <v>0</v>
      </c>
      <c r="BI32" s="26">
        <f t="shared" si="21"/>
        <v>0</v>
      </c>
      <c r="BJ32" s="26">
        <f t="shared" si="22"/>
        <v>0</v>
      </c>
      <c r="BK32" s="26" t="s">
        <v>573</v>
      </c>
      <c r="BL32" s="40">
        <v>722</v>
      </c>
    </row>
    <row r="33" spans="1:64" x14ac:dyDescent="0.25">
      <c r="A33" s="4" t="s">
        <v>20</v>
      </c>
      <c r="B33" s="14" t="s">
        <v>166</v>
      </c>
      <c r="C33" s="135" t="s">
        <v>331</v>
      </c>
      <c r="D33" s="136"/>
      <c r="E33" s="136"/>
      <c r="F33" s="136"/>
      <c r="G33" s="14" t="s">
        <v>503</v>
      </c>
      <c r="H33" s="26">
        <v>1</v>
      </c>
      <c r="I33" s="26">
        <v>0</v>
      </c>
      <c r="J33" s="26">
        <f t="shared" si="0"/>
        <v>0</v>
      </c>
      <c r="K33" s="26">
        <f t="shared" si="1"/>
        <v>0</v>
      </c>
      <c r="L33" s="26">
        <f t="shared" si="2"/>
        <v>0</v>
      </c>
      <c r="M33" s="26">
        <v>0</v>
      </c>
      <c r="N33" s="49">
        <f>H33*33</f>
        <v>33</v>
      </c>
      <c r="O33" s="6"/>
      <c r="Z33" s="40">
        <f t="shared" si="3"/>
        <v>0</v>
      </c>
      <c r="AB33" s="40">
        <f t="shared" si="4"/>
        <v>0</v>
      </c>
      <c r="AC33" s="40">
        <f t="shared" si="5"/>
        <v>0</v>
      </c>
      <c r="AD33" s="40">
        <f t="shared" si="6"/>
        <v>0</v>
      </c>
      <c r="AE33" s="40">
        <f t="shared" si="7"/>
        <v>0</v>
      </c>
      <c r="AF33" s="40">
        <f t="shared" si="8"/>
        <v>0</v>
      </c>
      <c r="AG33" s="40">
        <f t="shared" si="9"/>
        <v>0</v>
      </c>
      <c r="AH33" s="40">
        <f t="shared" si="10"/>
        <v>0</v>
      </c>
      <c r="AI33" s="37"/>
      <c r="AJ33" s="26">
        <f t="shared" si="11"/>
        <v>0</v>
      </c>
      <c r="AK33" s="26">
        <f t="shared" si="12"/>
        <v>0</v>
      </c>
      <c r="AL33" s="26">
        <f t="shared" si="13"/>
        <v>0</v>
      </c>
      <c r="AN33" s="40">
        <v>21</v>
      </c>
      <c r="AO33" s="40">
        <f>I33*0</f>
        <v>0</v>
      </c>
      <c r="AP33" s="40">
        <f>I33*(1-0)</f>
        <v>0</v>
      </c>
      <c r="AQ33" s="41" t="s">
        <v>13</v>
      </c>
      <c r="AV33" s="40">
        <f t="shared" si="14"/>
        <v>0</v>
      </c>
      <c r="AW33" s="40">
        <f t="shared" si="15"/>
        <v>0</v>
      </c>
      <c r="AX33" s="40">
        <f t="shared" si="16"/>
        <v>0</v>
      </c>
      <c r="AY33" s="43" t="s">
        <v>534</v>
      </c>
      <c r="AZ33" s="43" t="s">
        <v>562</v>
      </c>
      <c r="BA33" s="37" t="s">
        <v>568</v>
      </c>
      <c r="BC33" s="40">
        <f t="shared" si="17"/>
        <v>0</v>
      </c>
      <c r="BD33" s="40">
        <f t="shared" si="18"/>
        <v>0</v>
      </c>
      <c r="BE33" s="40">
        <v>0</v>
      </c>
      <c r="BF33" s="40">
        <f t="shared" si="19"/>
        <v>33</v>
      </c>
      <c r="BH33" s="26">
        <f t="shared" si="20"/>
        <v>0</v>
      </c>
      <c r="BI33" s="26">
        <f t="shared" si="21"/>
        <v>0</v>
      </c>
      <c r="BJ33" s="26">
        <f t="shared" si="22"/>
        <v>0</v>
      </c>
      <c r="BK33" s="26" t="s">
        <v>573</v>
      </c>
      <c r="BL33" s="40">
        <v>722</v>
      </c>
    </row>
    <row r="34" spans="1:64" x14ac:dyDescent="0.25">
      <c r="A34" s="4" t="s">
        <v>21</v>
      </c>
      <c r="B34" s="14" t="s">
        <v>167</v>
      </c>
      <c r="C34" s="135" t="s">
        <v>332</v>
      </c>
      <c r="D34" s="136"/>
      <c r="E34" s="136"/>
      <c r="F34" s="136"/>
      <c r="G34" s="14" t="s">
        <v>500</v>
      </c>
      <c r="H34" s="26">
        <v>1</v>
      </c>
      <c r="I34" s="26">
        <v>0</v>
      </c>
      <c r="J34" s="26">
        <f t="shared" si="0"/>
        <v>0</v>
      </c>
      <c r="K34" s="26">
        <f t="shared" si="1"/>
        <v>0</v>
      </c>
      <c r="L34" s="26">
        <f t="shared" si="2"/>
        <v>0</v>
      </c>
      <c r="M34" s="26">
        <v>2.15E-3</v>
      </c>
      <c r="N34" s="49">
        <f>H34*34</f>
        <v>34</v>
      </c>
      <c r="O34" s="6"/>
      <c r="Z34" s="40">
        <f t="shared" si="3"/>
        <v>0</v>
      </c>
      <c r="AB34" s="40">
        <f t="shared" si="4"/>
        <v>0</v>
      </c>
      <c r="AC34" s="40">
        <f t="shared" si="5"/>
        <v>0</v>
      </c>
      <c r="AD34" s="40">
        <f t="shared" si="6"/>
        <v>0</v>
      </c>
      <c r="AE34" s="40">
        <f t="shared" si="7"/>
        <v>0</v>
      </c>
      <c r="AF34" s="40">
        <f t="shared" si="8"/>
        <v>0</v>
      </c>
      <c r="AG34" s="40">
        <f t="shared" si="9"/>
        <v>0</v>
      </c>
      <c r="AH34" s="40">
        <f t="shared" si="10"/>
        <v>0</v>
      </c>
      <c r="AI34" s="37"/>
      <c r="AJ34" s="26">
        <f t="shared" si="11"/>
        <v>0</v>
      </c>
      <c r="AK34" s="26">
        <f t="shared" si="12"/>
        <v>0</v>
      </c>
      <c r="AL34" s="26">
        <f t="shared" si="13"/>
        <v>0</v>
      </c>
      <c r="AN34" s="40">
        <v>21</v>
      </c>
      <c r="AO34" s="40">
        <f>I34*0.76906887755102</f>
        <v>0</v>
      </c>
      <c r="AP34" s="40">
        <f>I34*(1-0.76906887755102)</f>
        <v>0</v>
      </c>
      <c r="AQ34" s="41" t="s">
        <v>13</v>
      </c>
      <c r="AV34" s="40">
        <f t="shared" si="14"/>
        <v>0</v>
      </c>
      <c r="AW34" s="40">
        <f t="shared" si="15"/>
        <v>0</v>
      </c>
      <c r="AX34" s="40">
        <f t="shared" si="16"/>
        <v>0</v>
      </c>
      <c r="AY34" s="43" t="s">
        <v>534</v>
      </c>
      <c r="AZ34" s="43" t="s">
        <v>562</v>
      </c>
      <c r="BA34" s="37" t="s">
        <v>568</v>
      </c>
      <c r="BC34" s="40">
        <f t="shared" si="17"/>
        <v>0</v>
      </c>
      <c r="BD34" s="40">
        <f t="shared" si="18"/>
        <v>0</v>
      </c>
      <c r="BE34" s="40">
        <v>0</v>
      </c>
      <c r="BF34" s="40">
        <f t="shared" si="19"/>
        <v>34</v>
      </c>
      <c r="BH34" s="26">
        <f t="shared" si="20"/>
        <v>0</v>
      </c>
      <c r="BI34" s="26">
        <f t="shared" si="21"/>
        <v>0</v>
      </c>
      <c r="BJ34" s="26">
        <f t="shared" si="22"/>
        <v>0</v>
      </c>
      <c r="BK34" s="26" t="s">
        <v>573</v>
      </c>
      <c r="BL34" s="40">
        <v>722</v>
      </c>
    </row>
    <row r="35" spans="1:64" x14ac:dyDescent="0.25">
      <c r="A35" s="4" t="s">
        <v>22</v>
      </c>
      <c r="B35" s="14" t="s">
        <v>168</v>
      </c>
      <c r="C35" s="135" t="s">
        <v>333</v>
      </c>
      <c r="D35" s="136"/>
      <c r="E35" s="136"/>
      <c r="F35" s="136"/>
      <c r="G35" s="14" t="s">
        <v>500</v>
      </c>
      <c r="H35" s="26">
        <v>1</v>
      </c>
      <c r="I35" s="26">
        <v>0</v>
      </c>
      <c r="J35" s="26">
        <f t="shared" si="0"/>
        <v>0</v>
      </c>
      <c r="K35" s="26">
        <f t="shared" si="1"/>
        <v>0</v>
      </c>
      <c r="L35" s="26">
        <f t="shared" si="2"/>
        <v>0</v>
      </c>
      <c r="M35" s="26">
        <v>3.3800000000000002E-3</v>
      </c>
      <c r="N35" s="49">
        <f>H35*35</f>
        <v>35</v>
      </c>
      <c r="O35" s="6"/>
      <c r="Z35" s="40">
        <f t="shared" si="3"/>
        <v>0</v>
      </c>
      <c r="AB35" s="40">
        <f t="shared" si="4"/>
        <v>0</v>
      </c>
      <c r="AC35" s="40">
        <f t="shared" si="5"/>
        <v>0</v>
      </c>
      <c r="AD35" s="40">
        <f t="shared" si="6"/>
        <v>0</v>
      </c>
      <c r="AE35" s="40">
        <f t="shared" si="7"/>
        <v>0</v>
      </c>
      <c r="AF35" s="40">
        <f t="shared" si="8"/>
        <v>0</v>
      </c>
      <c r="AG35" s="40">
        <f t="shared" si="9"/>
        <v>0</v>
      </c>
      <c r="AH35" s="40">
        <f t="shared" si="10"/>
        <v>0</v>
      </c>
      <c r="AI35" s="37"/>
      <c r="AJ35" s="26">
        <f t="shared" si="11"/>
        <v>0</v>
      </c>
      <c r="AK35" s="26">
        <f t="shared" si="12"/>
        <v>0</v>
      </c>
      <c r="AL35" s="26">
        <f t="shared" si="13"/>
        <v>0</v>
      </c>
      <c r="AN35" s="40">
        <v>21</v>
      </c>
      <c r="AO35" s="40">
        <f>I35*0.967992541951523</f>
        <v>0</v>
      </c>
      <c r="AP35" s="40">
        <f>I35*(1-0.967992541951523)</f>
        <v>0</v>
      </c>
      <c r="AQ35" s="41" t="s">
        <v>13</v>
      </c>
      <c r="AV35" s="40">
        <f t="shared" si="14"/>
        <v>0</v>
      </c>
      <c r="AW35" s="40">
        <f t="shared" si="15"/>
        <v>0</v>
      </c>
      <c r="AX35" s="40">
        <f t="shared" si="16"/>
        <v>0</v>
      </c>
      <c r="AY35" s="43" t="s">
        <v>534</v>
      </c>
      <c r="AZ35" s="43" t="s">
        <v>562</v>
      </c>
      <c r="BA35" s="37" t="s">
        <v>568</v>
      </c>
      <c r="BC35" s="40">
        <f t="shared" si="17"/>
        <v>0</v>
      </c>
      <c r="BD35" s="40">
        <f t="shared" si="18"/>
        <v>0</v>
      </c>
      <c r="BE35" s="40">
        <v>0</v>
      </c>
      <c r="BF35" s="40">
        <f t="shared" si="19"/>
        <v>35</v>
      </c>
      <c r="BH35" s="26">
        <f t="shared" si="20"/>
        <v>0</v>
      </c>
      <c r="BI35" s="26">
        <f t="shared" si="21"/>
        <v>0</v>
      </c>
      <c r="BJ35" s="26">
        <f t="shared" si="22"/>
        <v>0</v>
      </c>
      <c r="BK35" s="26" t="s">
        <v>573</v>
      </c>
      <c r="BL35" s="40">
        <v>722</v>
      </c>
    </row>
    <row r="36" spans="1:64" x14ac:dyDescent="0.25">
      <c r="A36" s="4" t="s">
        <v>23</v>
      </c>
      <c r="B36" s="14" t="s">
        <v>169</v>
      </c>
      <c r="C36" s="135" t="s">
        <v>334</v>
      </c>
      <c r="D36" s="136"/>
      <c r="E36" s="136"/>
      <c r="F36" s="136"/>
      <c r="G36" s="14" t="s">
        <v>500</v>
      </c>
      <c r="H36" s="26">
        <v>1</v>
      </c>
      <c r="I36" s="26">
        <v>0</v>
      </c>
      <c r="J36" s="26">
        <f t="shared" si="0"/>
        <v>0</v>
      </c>
      <c r="K36" s="26">
        <f t="shared" si="1"/>
        <v>0</v>
      </c>
      <c r="L36" s="26">
        <f t="shared" si="2"/>
        <v>0</v>
      </c>
      <c r="M36" s="26">
        <v>3.5899999999999999E-3</v>
      </c>
      <c r="N36" s="49">
        <f>H36*36</f>
        <v>36</v>
      </c>
      <c r="O36" s="6"/>
      <c r="Z36" s="40">
        <f t="shared" si="3"/>
        <v>0</v>
      </c>
      <c r="AB36" s="40">
        <f t="shared" si="4"/>
        <v>0</v>
      </c>
      <c r="AC36" s="40">
        <f t="shared" si="5"/>
        <v>0</v>
      </c>
      <c r="AD36" s="40">
        <f t="shared" si="6"/>
        <v>0</v>
      </c>
      <c r="AE36" s="40">
        <f t="shared" si="7"/>
        <v>0</v>
      </c>
      <c r="AF36" s="40">
        <f t="shared" si="8"/>
        <v>0</v>
      </c>
      <c r="AG36" s="40">
        <f t="shared" si="9"/>
        <v>0</v>
      </c>
      <c r="AH36" s="40">
        <f t="shared" si="10"/>
        <v>0</v>
      </c>
      <c r="AI36" s="37"/>
      <c r="AJ36" s="26">
        <f t="shared" si="11"/>
        <v>0</v>
      </c>
      <c r="AK36" s="26">
        <f t="shared" si="12"/>
        <v>0</v>
      </c>
      <c r="AL36" s="26">
        <f t="shared" si="13"/>
        <v>0</v>
      </c>
      <c r="AN36" s="40">
        <v>21</v>
      </c>
      <c r="AO36" s="40">
        <f>I36*0.804455445544555</f>
        <v>0</v>
      </c>
      <c r="AP36" s="40">
        <f>I36*(1-0.804455445544555)</f>
        <v>0</v>
      </c>
      <c r="AQ36" s="41" t="s">
        <v>13</v>
      </c>
      <c r="AV36" s="40">
        <f t="shared" si="14"/>
        <v>0</v>
      </c>
      <c r="AW36" s="40">
        <f t="shared" si="15"/>
        <v>0</v>
      </c>
      <c r="AX36" s="40">
        <f t="shared" si="16"/>
        <v>0</v>
      </c>
      <c r="AY36" s="43" t="s">
        <v>534</v>
      </c>
      <c r="AZ36" s="43" t="s">
        <v>562</v>
      </c>
      <c r="BA36" s="37" t="s">
        <v>568</v>
      </c>
      <c r="BC36" s="40">
        <f t="shared" si="17"/>
        <v>0</v>
      </c>
      <c r="BD36" s="40">
        <f t="shared" si="18"/>
        <v>0</v>
      </c>
      <c r="BE36" s="40">
        <v>0</v>
      </c>
      <c r="BF36" s="40">
        <f t="shared" si="19"/>
        <v>36</v>
      </c>
      <c r="BH36" s="26">
        <f t="shared" si="20"/>
        <v>0</v>
      </c>
      <c r="BI36" s="26">
        <f t="shared" si="21"/>
        <v>0</v>
      </c>
      <c r="BJ36" s="26">
        <f t="shared" si="22"/>
        <v>0</v>
      </c>
      <c r="BK36" s="26" t="s">
        <v>573</v>
      </c>
      <c r="BL36" s="40">
        <v>722</v>
      </c>
    </row>
    <row r="37" spans="1:64" x14ac:dyDescent="0.25">
      <c r="A37" s="5"/>
      <c r="B37" s="15" t="s">
        <v>170</v>
      </c>
      <c r="C37" s="137" t="s">
        <v>335</v>
      </c>
      <c r="D37" s="138"/>
      <c r="E37" s="138"/>
      <c r="F37" s="138"/>
      <c r="G37" s="24" t="s">
        <v>6</v>
      </c>
      <c r="H37" s="24" t="s">
        <v>6</v>
      </c>
      <c r="I37" s="24" t="s">
        <v>6</v>
      </c>
      <c r="J37" s="46">
        <f>SUM(J38:J49)</f>
        <v>0</v>
      </c>
      <c r="K37" s="46">
        <f>SUM(K38:K49)</f>
        <v>0</v>
      </c>
      <c r="L37" s="46">
        <f>SUM(L38:L49)</f>
        <v>0</v>
      </c>
      <c r="M37" s="37"/>
      <c r="N37" s="50">
        <f>SUM(N38:N49)</f>
        <v>609</v>
      </c>
      <c r="O37" s="6"/>
      <c r="AI37" s="37"/>
      <c r="AS37" s="46">
        <f>SUM(AJ38:AJ49)</f>
        <v>0</v>
      </c>
      <c r="AT37" s="46">
        <f>SUM(AK38:AK49)</f>
        <v>0</v>
      </c>
      <c r="AU37" s="46">
        <f>SUM(AL38:AL49)</f>
        <v>0</v>
      </c>
    </row>
    <row r="38" spans="1:64" x14ac:dyDescent="0.25">
      <c r="A38" s="4" t="s">
        <v>24</v>
      </c>
      <c r="B38" s="14" t="s">
        <v>171</v>
      </c>
      <c r="C38" s="135" t="s">
        <v>336</v>
      </c>
      <c r="D38" s="136"/>
      <c r="E38" s="136"/>
      <c r="F38" s="136"/>
      <c r="G38" s="14" t="s">
        <v>500</v>
      </c>
      <c r="H38" s="26">
        <v>1</v>
      </c>
      <c r="I38" s="26">
        <v>0</v>
      </c>
      <c r="J38" s="26">
        <f>H38*AO38</f>
        <v>0</v>
      </c>
      <c r="K38" s="26">
        <f>H38*AP38</f>
        <v>0</v>
      </c>
      <c r="L38" s="26">
        <f>H38*I38</f>
        <v>0</v>
      </c>
      <c r="M38" s="26">
        <v>0</v>
      </c>
      <c r="N38" s="49">
        <f>H38*38</f>
        <v>38</v>
      </c>
      <c r="O38" s="6"/>
      <c r="Z38" s="40">
        <f>IF(AQ38="5",BJ38,0)</f>
        <v>0</v>
      </c>
      <c r="AB38" s="40">
        <f>IF(AQ38="1",BH38,0)</f>
        <v>0</v>
      </c>
      <c r="AC38" s="40">
        <f>IF(AQ38="1",BI38,0)</f>
        <v>0</v>
      </c>
      <c r="AD38" s="40">
        <f>IF(AQ38="7",BH38,0)</f>
        <v>0</v>
      </c>
      <c r="AE38" s="40">
        <f>IF(AQ38="7",BI38,0)</f>
        <v>0</v>
      </c>
      <c r="AF38" s="40">
        <f>IF(AQ38="2",BH38,0)</f>
        <v>0</v>
      </c>
      <c r="AG38" s="40">
        <f>IF(AQ38="2",BI38,0)</f>
        <v>0</v>
      </c>
      <c r="AH38" s="40">
        <f>IF(AQ38="0",BJ38,0)</f>
        <v>0</v>
      </c>
      <c r="AI38" s="37"/>
      <c r="AJ38" s="26">
        <f>IF(AN38=0,L38,0)</f>
        <v>0</v>
      </c>
      <c r="AK38" s="26">
        <f>IF(AN38=15,L38,0)</f>
        <v>0</v>
      </c>
      <c r="AL38" s="26">
        <f>IF(AN38=21,L38,0)</f>
        <v>0</v>
      </c>
      <c r="AN38" s="40">
        <v>21</v>
      </c>
      <c r="AO38" s="40">
        <f>I38*0</f>
        <v>0</v>
      </c>
      <c r="AP38" s="40">
        <f>I38*(1-0)</f>
        <v>0</v>
      </c>
      <c r="AQ38" s="41" t="s">
        <v>13</v>
      </c>
      <c r="AV38" s="40">
        <f>AW38+AX38</f>
        <v>0</v>
      </c>
      <c r="AW38" s="40">
        <f>H38*AO38</f>
        <v>0</v>
      </c>
      <c r="AX38" s="40">
        <f>H38*AP38</f>
        <v>0</v>
      </c>
      <c r="AY38" s="43" t="s">
        <v>535</v>
      </c>
      <c r="AZ38" s="43" t="s">
        <v>563</v>
      </c>
      <c r="BA38" s="37" t="s">
        <v>568</v>
      </c>
      <c r="BC38" s="40">
        <f>AW38+AX38</f>
        <v>0</v>
      </c>
      <c r="BD38" s="40">
        <f>I38/(100-BE38)*100</f>
        <v>0</v>
      </c>
      <c r="BE38" s="40">
        <v>0</v>
      </c>
      <c r="BF38" s="40">
        <f>N38</f>
        <v>38</v>
      </c>
      <c r="BH38" s="26">
        <f>H38*AO38</f>
        <v>0</v>
      </c>
      <c r="BI38" s="26">
        <f>H38*AP38</f>
        <v>0</v>
      </c>
      <c r="BJ38" s="26">
        <f>H38*I38</f>
        <v>0</v>
      </c>
      <c r="BK38" s="26" t="s">
        <v>573</v>
      </c>
      <c r="BL38" s="40">
        <v>731</v>
      </c>
    </row>
    <row r="39" spans="1:64" x14ac:dyDescent="0.25">
      <c r="A39" s="4" t="s">
        <v>25</v>
      </c>
      <c r="B39" s="14" t="s">
        <v>172</v>
      </c>
      <c r="C39" s="135" t="s">
        <v>337</v>
      </c>
      <c r="D39" s="136"/>
      <c r="E39" s="136"/>
      <c r="F39" s="136"/>
      <c r="G39" s="14" t="s">
        <v>500</v>
      </c>
      <c r="H39" s="26">
        <v>2</v>
      </c>
      <c r="I39" s="26">
        <v>0</v>
      </c>
      <c r="J39" s="26">
        <f>H39*AO39</f>
        <v>0</v>
      </c>
      <c r="K39" s="26">
        <f>H39*AP39</f>
        <v>0</v>
      </c>
      <c r="L39" s="26">
        <f>H39*I39</f>
        <v>0</v>
      </c>
      <c r="M39" s="26">
        <v>1E-4</v>
      </c>
      <c r="N39" s="49">
        <f>H39*39</f>
        <v>78</v>
      </c>
      <c r="O39" s="6"/>
      <c r="Z39" s="40">
        <f>IF(AQ39="5",BJ39,0)</f>
        <v>0</v>
      </c>
      <c r="AB39" s="40">
        <f>IF(AQ39="1",BH39,0)</f>
        <v>0</v>
      </c>
      <c r="AC39" s="40">
        <f>IF(AQ39="1",BI39,0)</f>
        <v>0</v>
      </c>
      <c r="AD39" s="40">
        <f>IF(AQ39="7",BH39,0)</f>
        <v>0</v>
      </c>
      <c r="AE39" s="40">
        <f>IF(AQ39="7",BI39,0)</f>
        <v>0</v>
      </c>
      <c r="AF39" s="40">
        <f>IF(AQ39="2",BH39,0)</f>
        <v>0</v>
      </c>
      <c r="AG39" s="40">
        <f>IF(AQ39="2",BI39,0)</f>
        <v>0</v>
      </c>
      <c r="AH39" s="40">
        <f>IF(AQ39="0",BJ39,0)</f>
        <v>0</v>
      </c>
      <c r="AI39" s="37"/>
      <c r="AJ39" s="26">
        <f>IF(AN39=0,L39,0)</f>
        <v>0</v>
      </c>
      <c r="AK39" s="26">
        <f>IF(AN39=15,L39,0)</f>
        <v>0</v>
      </c>
      <c r="AL39" s="26">
        <f>IF(AN39=21,L39,0)</f>
        <v>0</v>
      </c>
      <c r="AN39" s="40">
        <v>21</v>
      </c>
      <c r="AO39" s="40">
        <f>I39*0.0046198347107438</f>
        <v>0</v>
      </c>
      <c r="AP39" s="40">
        <f>I39*(1-0.0046198347107438)</f>
        <v>0</v>
      </c>
      <c r="AQ39" s="41" t="s">
        <v>13</v>
      </c>
      <c r="AV39" s="40">
        <f>AW39+AX39</f>
        <v>0</v>
      </c>
      <c r="AW39" s="40">
        <f>H39*AO39</f>
        <v>0</v>
      </c>
      <c r="AX39" s="40">
        <f>H39*AP39</f>
        <v>0</v>
      </c>
      <c r="AY39" s="43" t="s">
        <v>535</v>
      </c>
      <c r="AZ39" s="43" t="s">
        <v>563</v>
      </c>
      <c r="BA39" s="37" t="s">
        <v>568</v>
      </c>
      <c r="BC39" s="40">
        <f>AW39+AX39</f>
        <v>0</v>
      </c>
      <c r="BD39" s="40">
        <f>I39/(100-BE39)*100</f>
        <v>0</v>
      </c>
      <c r="BE39" s="40">
        <v>0</v>
      </c>
      <c r="BF39" s="40">
        <f>N39</f>
        <v>78</v>
      </c>
      <c r="BH39" s="26">
        <f>H39*AO39</f>
        <v>0</v>
      </c>
      <c r="BI39" s="26">
        <f>H39*AP39</f>
        <v>0</v>
      </c>
      <c r="BJ39" s="26">
        <f>H39*I39</f>
        <v>0</v>
      </c>
      <c r="BK39" s="26" t="s">
        <v>573</v>
      </c>
      <c r="BL39" s="40">
        <v>731</v>
      </c>
    </row>
    <row r="40" spans="1:64" x14ac:dyDescent="0.25">
      <c r="A40" s="4" t="s">
        <v>26</v>
      </c>
      <c r="B40" s="14" t="s">
        <v>173</v>
      </c>
      <c r="C40" s="135" t="s">
        <v>338</v>
      </c>
      <c r="D40" s="136"/>
      <c r="E40" s="136"/>
      <c r="F40" s="136"/>
      <c r="G40" s="14" t="s">
        <v>503</v>
      </c>
      <c r="H40" s="26">
        <v>2</v>
      </c>
      <c r="I40" s="26">
        <v>0</v>
      </c>
      <c r="J40" s="26">
        <f>H40*AO40</f>
        <v>0</v>
      </c>
      <c r="K40" s="26">
        <f>H40*AP40</f>
        <v>0</v>
      </c>
      <c r="L40" s="26">
        <f>H40*I40</f>
        <v>0</v>
      </c>
      <c r="M40" s="26">
        <v>6.2E-4</v>
      </c>
      <c r="N40" s="49">
        <f>H40*40</f>
        <v>80</v>
      </c>
      <c r="O40" s="6"/>
      <c r="Z40" s="40">
        <f>IF(AQ40="5",BJ40,0)</f>
        <v>0</v>
      </c>
      <c r="AB40" s="40">
        <f>IF(AQ40="1",BH40,0)</f>
        <v>0</v>
      </c>
      <c r="AC40" s="40">
        <f>IF(AQ40="1",BI40,0)</f>
        <v>0</v>
      </c>
      <c r="AD40" s="40">
        <f>IF(AQ40="7",BH40,0)</f>
        <v>0</v>
      </c>
      <c r="AE40" s="40">
        <f>IF(AQ40="7",BI40,0)</f>
        <v>0</v>
      </c>
      <c r="AF40" s="40">
        <f>IF(AQ40="2",BH40,0)</f>
        <v>0</v>
      </c>
      <c r="AG40" s="40">
        <f>IF(AQ40="2",BI40,0)</f>
        <v>0</v>
      </c>
      <c r="AH40" s="40">
        <f>IF(AQ40="0",BJ40,0)</f>
        <v>0</v>
      </c>
      <c r="AI40" s="37"/>
      <c r="AJ40" s="26">
        <f>IF(AN40=0,L40,0)</f>
        <v>0</v>
      </c>
      <c r="AK40" s="26">
        <f>IF(AN40=15,L40,0)</f>
        <v>0</v>
      </c>
      <c r="AL40" s="26">
        <f>IF(AN40=21,L40,0)</f>
        <v>0</v>
      </c>
      <c r="AN40" s="40">
        <v>21</v>
      </c>
      <c r="AO40" s="40">
        <f>I40*0.0109895712630359</f>
        <v>0</v>
      </c>
      <c r="AP40" s="40">
        <f>I40*(1-0.0109895712630359)</f>
        <v>0</v>
      </c>
      <c r="AQ40" s="41" t="s">
        <v>13</v>
      </c>
      <c r="AV40" s="40">
        <f>AW40+AX40</f>
        <v>0</v>
      </c>
      <c r="AW40" s="40">
        <f>H40*AO40</f>
        <v>0</v>
      </c>
      <c r="AX40" s="40">
        <f>H40*AP40</f>
        <v>0</v>
      </c>
      <c r="AY40" s="43" t="s">
        <v>535</v>
      </c>
      <c r="AZ40" s="43" t="s">
        <v>563</v>
      </c>
      <c r="BA40" s="37" t="s">
        <v>568</v>
      </c>
      <c r="BC40" s="40">
        <f>AW40+AX40</f>
        <v>0</v>
      </c>
      <c r="BD40" s="40">
        <f>I40/(100-BE40)*100</f>
        <v>0</v>
      </c>
      <c r="BE40" s="40">
        <v>0</v>
      </c>
      <c r="BF40" s="40">
        <f>N40</f>
        <v>80</v>
      </c>
      <c r="BH40" s="26">
        <f>H40*AO40</f>
        <v>0</v>
      </c>
      <c r="BI40" s="26">
        <f>H40*AP40</f>
        <v>0</v>
      </c>
      <c r="BJ40" s="26">
        <f>H40*I40</f>
        <v>0</v>
      </c>
      <c r="BK40" s="26" t="s">
        <v>573</v>
      </c>
      <c r="BL40" s="40">
        <v>731</v>
      </c>
    </row>
    <row r="41" spans="1:64" x14ac:dyDescent="0.25">
      <c r="A41" s="7" t="s">
        <v>27</v>
      </c>
      <c r="B41" s="16" t="s">
        <v>174</v>
      </c>
      <c r="C41" s="139" t="s">
        <v>339</v>
      </c>
      <c r="D41" s="140"/>
      <c r="E41" s="140"/>
      <c r="F41" s="140"/>
      <c r="G41" s="16" t="s">
        <v>504</v>
      </c>
      <c r="H41" s="28">
        <v>1</v>
      </c>
      <c r="I41" s="28">
        <v>0</v>
      </c>
      <c r="J41" s="28">
        <f>H41*AO41</f>
        <v>0</v>
      </c>
      <c r="K41" s="28">
        <f>H41*AP41</f>
        <v>0</v>
      </c>
      <c r="L41" s="28">
        <f>H41*I41</f>
        <v>0</v>
      </c>
      <c r="M41" s="28">
        <v>0.5</v>
      </c>
      <c r="N41" s="51">
        <f>H41*41</f>
        <v>41</v>
      </c>
      <c r="O41" s="6"/>
      <c r="Z41" s="40">
        <f>IF(AQ41="5",BJ41,0)</f>
        <v>0</v>
      </c>
      <c r="AB41" s="40">
        <f>IF(AQ41="1",BH41,0)</f>
        <v>0</v>
      </c>
      <c r="AC41" s="40">
        <f>IF(AQ41="1",BI41,0)</f>
        <v>0</v>
      </c>
      <c r="AD41" s="40">
        <f>IF(AQ41="7",BH41,0)</f>
        <v>0</v>
      </c>
      <c r="AE41" s="40">
        <f>IF(AQ41="7",BI41,0)</f>
        <v>0</v>
      </c>
      <c r="AF41" s="40">
        <f>IF(AQ41="2",BH41,0)</f>
        <v>0</v>
      </c>
      <c r="AG41" s="40">
        <f>IF(AQ41="2",BI41,0)</f>
        <v>0</v>
      </c>
      <c r="AH41" s="40">
        <f>IF(AQ41="0",BJ41,0)</f>
        <v>0</v>
      </c>
      <c r="AI41" s="37"/>
      <c r="AJ41" s="28">
        <f>IF(AN41=0,L41,0)</f>
        <v>0</v>
      </c>
      <c r="AK41" s="28">
        <f>IF(AN41=15,L41,0)</f>
        <v>0</v>
      </c>
      <c r="AL41" s="28">
        <f>IF(AN41=21,L41,0)</f>
        <v>0</v>
      </c>
      <c r="AN41" s="40">
        <v>21</v>
      </c>
      <c r="AO41" s="40">
        <f>I41*1</f>
        <v>0</v>
      </c>
      <c r="AP41" s="40">
        <f>I41*(1-1)</f>
        <v>0</v>
      </c>
      <c r="AQ41" s="42" t="s">
        <v>13</v>
      </c>
      <c r="AV41" s="40">
        <f>AW41+AX41</f>
        <v>0</v>
      </c>
      <c r="AW41" s="40">
        <f>H41*AO41</f>
        <v>0</v>
      </c>
      <c r="AX41" s="40">
        <f>H41*AP41</f>
        <v>0</v>
      </c>
      <c r="AY41" s="43" t="s">
        <v>535</v>
      </c>
      <c r="AZ41" s="43" t="s">
        <v>563</v>
      </c>
      <c r="BA41" s="37" t="s">
        <v>568</v>
      </c>
      <c r="BC41" s="40">
        <f>AW41+AX41</f>
        <v>0</v>
      </c>
      <c r="BD41" s="40">
        <f>I41/(100-BE41)*100</f>
        <v>0</v>
      </c>
      <c r="BE41" s="40">
        <v>0</v>
      </c>
      <c r="BF41" s="40">
        <f>N41</f>
        <v>41</v>
      </c>
      <c r="BH41" s="28">
        <f>H41*AO41</f>
        <v>0</v>
      </c>
      <c r="BI41" s="28">
        <f>H41*AP41</f>
        <v>0</v>
      </c>
      <c r="BJ41" s="28">
        <f>H41*I41</f>
        <v>0</v>
      </c>
      <c r="BK41" s="28" t="s">
        <v>574</v>
      </c>
      <c r="BL41" s="40">
        <v>731</v>
      </c>
    </row>
    <row r="42" spans="1:64" x14ac:dyDescent="0.25">
      <c r="A42" s="6"/>
      <c r="C42" s="18" t="s">
        <v>340</v>
      </c>
      <c r="F42" s="21"/>
      <c r="H42" s="27">
        <v>0</v>
      </c>
      <c r="N42" s="38"/>
      <c r="O42" s="6"/>
    </row>
    <row r="43" spans="1:64" x14ac:dyDescent="0.25">
      <c r="A43" s="7" t="s">
        <v>28</v>
      </c>
      <c r="B43" s="16" t="s">
        <v>174</v>
      </c>
      <c r="C43" s="139" t="s">
        <v>341</v>
      </c>
      <c r="D43" s="140"/>
      <c r="E43" s="140"/>
      <c r="F43" s="140"/>
      <c r="G43" s="16" t="s">
        <v>504</v>
      </c>
      <c r="H43" s="28">
        <v>1</v>
      </c>
      <c r="I43" s="28">
        <v>0</v>
      </c>
      <c r="J43" s="28">
        <f>H43*AO43</f>
        <v>0</v>
      </c>
      <c r="K43" s="28">
        <f>H43*AP43</f>
        <v>0</v>
      </c>
      <c r="L43" s="28">
        <f>H43*I43</f>
        <v>0</v>
      </c>
      <c r="M43" s="28">
        <v>0.44</v>
      </c>
      <c r="N43" s="51">
        <f>H43*43</f>
        <v>43</v>
      </c>
      <c r="O43" s="6"/>
      <c r="Z43" s="40">
        <f>IF(AQ43="5",BJ43,0)</f>
        <v>0</v>
      </c>
      <c r="AB43" s="40">
        <f>IF(AQ43="1",BH43,0)</f>
        <v>0</v>
      </c>
      <c r="AC43" s="40">
        <f>IF(AQ43="1",BI43,0)</f>
        <v>0</v>
      </c>
      <c r="AD43" s="40">
        <f>IF(AQ43="7",BH43,0)</f>
        <v>0</v>
      </c>
      <c r="AE43" s="40">
        <f>IF(AQ43="7",BI43,0)</f>
        <v>0</v>
      </c>
      <c r="AF43" s="40">
        <f>IF(AQ43="2",BH43,0)</f>
        <v>0</v>
      </c>
      <c r="AG43" s="40">
        <f>IF(AQ43="2",BI43,0)</f>
        <v>0</v>
      </c>
      <c r="AH43" s="40">
        <f>IF(AQ43="0",BJ43,0)</f>
        <v>0</v>
      </c>
      <c r="AI43" s="37"/>
      <c r="AJ43" s="28">
        <f>IF(AN43=0,L43,0)</f>
        <v>0</v>
      </c>
      <c r="AK43" s="28">
        <f>IF(AN43=15,L43,0)</f>
        <v>0</v>
      </c>
      <c r="AL43" s="28">
        <f>IF(AN43=21,L43,0)</f>
        <v>0</v>
      </c>
      <c r="AN43" s="40">
        <v>21</v>
      </c>
      <c r="AO43" s="40">
        <f>I43*1</f>
        <v>0</v>
      </c>
      <c r="AP43" s="40">
        <f>I43*(1-1)</f>
        <v>0</v>
      </c>
      <c r="AQ43" s="42" t="s">
        <v>13</v>
      </c>
      <c r="AV43" s="40">
        <f>AW43+AX43</f>
        <v>0</v>
      </c>
      <c r="AW43" s="40">
        <f>H43*AO43</f>
        <v>0</v>
      </c>
      <c r="AX43" s="40">
        <f>H43*AP43</f>
        <v>0</v>
      </c>
      <c r="AY43" s="43" t="s">
        <v>535</v>
      </c>
      <c r="AZ43" s="43" t="s">
        <v>563</v>
      </c>
      <c r="BA43" s="37" t="s">
        <v>568</v>
      </c>
      <c r="BC43" s="40">
        <f>AW43+AX43</f>
        <v>0</v>
      </c>
      <c r="BD43" s="40">
        <f>I43/(100-BE43)*100</f>
        <v>0</v>
      </c>
      <c r="BE43" s="40">
        <v>0</v>
      </c>
      <c r="BF43" s="40">
        <f>N43</f>
        <v>43</v>
      </c>
      <c r="BH43" s="28">
        <f>H43*AO43</f>
        <v>0</v>
      </c>
      <c r="BI43" s="28">
        <f>H43*AP43</f>
        <v>0</v>
      </c>
      <c r="BJ43" s="28">
        <f>H43*I43</f>
        <v>0</v>
      </c>
      <c r="BK43" s="28" t="s">
        <v>574</v>
      </c>
      <c r="BL43" s="40">
        <v>731</v>
      </c>
    </row>
    <row r="44" spans="1:64" x14ac:dyDescent="0.25">
      <c r="A44" s="6"/>
      <c r="C44" s="18" t="s">
        <v>342</v>
      </c>
      <c r="F44" s="21"/>
      <c r="H44" s="27">
        <v>0</v>
      </c>
      <c r="N44" s="38"/>
      <c r="O44" s="6"/>
    </row>
    <row r="45" spans="1:64" x14ac:dyDescent="0.25">
      <c r="A45" s="7" t="s">
        <v>29</v>
      </c>
      <c r="B45" s="16" t="s">
        <v>175</v>
      </c>
      <c r="C45" s="139" t="s">
        <v>343</v>
      </c>
      <c r="D45" s="140"/>
      <c r="E45" s="140"/>
      <c r="F45" s="140"/>
      <c r="G45" s="16" t="s">
        <v>504</v>
      </c>
      <c r="H45" s="28">
        <v>2</v>
      </c>
      <c r="I45" s="28">
        <v>0</v>
      </c>
      <c r="J45" s="28">
        <f>H45*AO45</f>
        <v>0</v>
      </c>
      <c r="K45" s="28">
        <f>H45*AP45</f>
        <v>0</v>
      </c>
      <c r="L45" s="28">
        <f>H45*I45</f>
        <v>0</v>
      </c>
      <c r="M45" s="28">
        <v>1E-3</v>
      </c>
      <c r="N45" s="51">
        <f>H45*45</f>
        <v>90</v>
      </c>
      <c r="O45" s="6"/>
      <c r="Z45" s="40">
        <f>IF(AQ45="5",BJ45,0)</f>
        <v>0</v>
      </c>
      <c r="AB45" s="40">
        <f>IF(AQ45="1",BH45,0)</f>
        <v>0</v>
      </c>
      <c r="AC45" s="40">
        <f>IF(AQ45="1",BI45,0)</f>
        <v>0</v>
      </c>
      <c r="AD45" s="40">
        <f>IF(AQ45="7",BH45,0)</f>
        <v>0</v>
      </c>
      <c r="AE45" s="40">
        <f>IF(AQ45="7",BI45,0)</f>
        <v>0</v>
      </c>
      <c r="AF45" s="40">
        <f>IF(AQ45="2",BH45,0)</f>
        <v>0</v>
      </c>
      <c r="AG45" s="40">
        <f>IF(AQ45="2",BI45,0)</f>
        <v>0</v>
      </c>
      <c r="AH45" s="40">
        <f>IF(AQ45="0",BJ45,0)</f>
        <v>0</v>
      </c>
      <c r="AI45" s="37"/>
      <c r="AJ45" s="28">
        <f>IF(AN45=0,L45,0)</f>
        <v>0</v>
      </c>
      <c r="AK45" s="28">
        <f>IF(AN45=15,L45,0)</f>
        <v>0</v>
      </c>
      <c r="AL45" s="28">
        <f>IF(AN45=21,L45,0)</f>
        <v>0</v>
      </c>
      <c r="AN45" s="40">
        <v>21</v>
      </c>
      <c r="AO45" s="40">
        <f>I45*1</f>
        <v>0</v>
      </c>
      <c r="AP45" s="40">
        <f>I45*(1-1)</f>
        <v>0</v>
      </c>
      <c r="AQ45" s="42" t="s">
        <v>13</v>
      </c>
      <c r="AV45" s="40">
        <f>AW45+AX45</f>
        <v>0</v>
      </c>
      <c r="AW45" s="40">
        <f>H45*AO45</f>
        <v>0</v>
      </c>
      <c r="AX45" s="40">
        <f>H45*AP45</f>
        <v>0</v>
      </c>
      <c r="AY45" s="43" t="s">
        <v>535</v>
      </c>
      <c r="AZ45" s="43" t="s">
        <v>563</v>
      </c>
      <c r="BA45" s="37" t="s">
        <v>568</v>
      </c>
      <c r="BC45" s="40">
        <f>AW45+AX45</f>
        <v>0</v>
      </c>
      <c r="BD45" s="40">
        <f>I45/(100-BE45)*100</f>
        <v>0</v>
      </c>
      <c r="BE45" s="40">
        <v>0</v>
      </c>
      <c r="BF45" s="40">
        <f>N45</f>
        <v>90</v>
      </c>
      <c r="BH45" s="28">
        <f>H45*AO45</f>
        <v>0</v>
      </c>
      <c r="BI45" s="28">
        <f>H45*AP45</f>
        <v>0</v>
      </c>
      <c r="BJ45" s="28">
        <f>H45*I45</f>
        <v>0</v>
      </c>
      <c r="BK45" s="28" t="s">
        <v>574</v>
      </c>
      <c r="BL45" s="40">
        <v>731</v>
      </c>
    </row>
    <row r="46" spans="1:64" x14ac:dyDescent="0.25">
      <c r="A46" s="7" t="s">
        <v>30</v>
      </c>
      <c r="B46" s="16" t="s">
        <v>176</v>
      </c>
      <c r="C46" s="139" t="s">
        <v>344</v>
      </c>
      <c r="D46" s="140"/>
      <c r="E46" s="140"/>
      <c r="F46" s="140"/>
      <c r="G46" s="16" t="s">
        <v>504</v>
      </c>
      <c r="H46" s="28">
        <v>1</v>
      </c>
      <c r="I46" s="28">
        <v>0</v>
      </c>
      <c r="J46" s="28">
        <f>H46*AO46</f>
        <v>0</v>
      </c>
      <c r="K46" s="28">
        <f>H46*AP46</f>
        <v>0</v>
      </c>
      <c r="L46" s="28">
        <f>H46*I46</f>
        <v>0</v>
      </c>
      <c r="M46" s="28">
        <v>2E-3</v>
      </c>
      <c r="N46" s="51">
        <f>H46*46</f>
        <v>46</v>
      </c>
      <c r="O46" s="6"/>
      <c r="Z46" s="40">
        <f>IF(AQ46="5",BJ46,0)</f>
        <v>0</v>
      </c>
      <c r="AB46" s="40">
        <f>IF(AQ46="1",BH46,0)</f>
        <v>0</v>
      </c>
      <c r="AC46" s="40">
        <f>IF(AQ46="1",BI46,0)</f>
        <v>0</v>
      </c>
      <c r="AD46" s="40">
        <f>IF(AQ46="7",BH46,0)</f>
        <v>0</v>
      </c>
      <c r="AE46" s="40">
        <f>IF(AQ46="7",BI46,0)</f>
        <v>0</v>
      </c>
      <c r="AF46" s="40">
        <f>IF(AQ46="2",BH46,0)</f>
        <v>0</v>
      </c>
      <c r="AG46" s="40">
        <f>IF(AQ46="2",BI46,0)</f>
        <v>0</v>
      </c>
      <c r="AH46" s="40">
        <f>IF(AQ46="0",BJ46,0)</f>
        <v>0</v>
      </c>
      <c r="AI46" s="37"/>
      <c r="AJ46" s="28">
        <f>IF(AN46=0,L46,0)</f>
        <v>0</v>
      </c>
      <c r="AK46" s="28">
        <f>IF(AN46=15,L46,0)</f>
        <v>0</v>
      </c>
      <c r="AL46" s="28">
        <f>IF(AN46=21,L46,0)</f>
        <v>0</v>
      </c>
      <c r="AN46" s="40">
        <v>21</v>
      </c>
      <c r="AO46" s="40">
        <f>I46*1</f>
        <v>0</v>
      </c>
      <c r="AP46" s="40">
        <f>I46*(1-1)</f>
        <v>0</v>
      </c>
      <c r="AQ46" s="42" t="s">
        <v>13</v>
      </c>
      <c r="AV46" s="40">
        <f>AW46+AX46</f>
        <v>0</v>
      </c>
      <c r="AW46" s="40">
        <f>H46*AO46</f>
        <v>0</v>
      </c>
      <c r="AX46" s="40">
        <f>H46*AP46</f>
        <v>0</v>
      </c>
      <c r="AY46" s="43" t="s">
        <v>535</v>
      </c>
      <c r="AZ46" s="43" t="s">
        <v>563</v>
      </c>
      <c r="BA46" s="37" t="s">
        <v>568</v>
      </c>
      <c r="BC46" s="40">
        <f>AW46+AX46</f>
        <v>0</v>
      </c>
      <c r="BD46" s="40">
        <f>I46/(100-BE46)*100</f>
        <v>0</v>
      </c>
      <c r="BE46" s="40">
        <v>0</v>
      </c>
      <c r="BF46" s="40">
        <f>N46</f>
        <v>46</v>
      </c>
      <c r="BH46" s="28">
        <f>H46*AO46</f>
        <v>0</v>
      </c>
      <c r="BI46" s="28">
        <f>H46*AP46</f>
        <v>0</v>
      </c>
      <c r="BJ46" s="28">
        <f>H46*I46</f>
        <v>0</v>
      </c>
      <c r="BK46" s="28" t="s">
        <v>574</v>
      </c>
      <c r="BL46" s="40">
        <v>731</v>
      </c>
    </row>
    <row r="47" spans="1:64" x14ac:dyDescent="0.25">
      <c r="A47" s="7" t="s">
        <v>31</v>
      </c>
      <c r="B47" s="16" t="s">
        <v>177</v>
      </c>
      <c r="C47" s="139" t="s">
        <v>345</v>
      </c>
      <c r="D47" s="140"/>
      <c r="E47" s="140"/>
      <c r="F47" s="140"/>
      <c r="G47" s="16" t="s">
        <v>504</v>
      </c>
      <c r="H47" s="28">
        <v>1</v>
      </c>
      <c r="I47" s="28">
        <v>0</v>
      </c>
      <c r="J47" s="28">
        <f>H47*AO47</f>
        <v>0</v>
      </c>
      <c r="K47" s="28">
        <f>H47*AP47</f>
        <v>0</v>
      </c>
      <c r="L47" s="28">
        <f>H47*I47</f>
        <v>0</v>
      </c>
      <c r="M47" s="28">
        <v>1E-3</v>
      </c>
      <c r="N47" s="51">
        <f>H47*47</f>
        <v>47</v>
      </c>
      <c r="O47" s="6"/>
      <c r="Z47" s="40">
        <f>IF(AQ47="5",BJ47,0)</f>
        <v>0</v>
      </c>
      <c r="AB47" s="40">
        <f>IF(AQ47="1",BH47,0)</f>
        <v>0</v>
      </c>
      <c r="AC47" s="40">
        <f>IF(AQ47="1",BI47,0)</f>
        <v>0</v>
      </c>
      <c r="AD47" s="40">
        <f>IF(AQ47="7",BH47,0)</f>
        <v>0</v>
      </c>
      <c r="AE47" s="40">
        <f>IF(AQ47="7",BI47,0)</f>
        <v>0</v>
      </c>
      <c r="AF47" s="40">
        <f>IF(AQ47="2",BH47,0)</f>
        <v>0</v>
      </c>
      <c r="AG47" s="40">
        <f>IF(AQ47="2",BI47,0)</f>
        <v>0</v>
      </c>
      <c r="AH47" s="40">
        <f>IF(AQ47="0",BJ47,0)</f>
        <v>0</v>
      </c>
      <c r="AI47" s="37"/>
      <c r="AJ47" s="28">
        <f>IF(AN47=0,L47,0)</f>
        <v>0</v>
      </c>
      <c r="AK47" s="28">
        <f>IF(AN47=15,L47,0)</f>
        <v>0</v>
      </c>
      <c r="AL47" s="28">
        <f>IF(AN47=21,L47,0)</f>
        <v>0</v>
      </c>
      <c r="AN47" s="40">
        <v>21</v>
      </c>
      <c r="AO47" s="40">
        <f>I47*1</f>
        <v>0</v>
      </c>
      <c r="AP47" s="40">
        <f>I47*(1-1)</f>
        <v>0</v>
      </c>
      <c r="AQ47" s="42" t="s">
        <v>13</v>
      </c>
      <c r="AV47" s="40">
        <f>AW47+AX47</f>
        <v>0</v>
      </c>
      <c r="AW47" s="40">
        <f>H47*AO47</f>
        <v>0</v>
      </c>
      <c r="AX47" s="40">
        <f>H47*AP47</f>
        <v>0</v>
      </c>
      <c r="AY47" s="43" t="s">
        <v>535</v>
      </c>
      <c r="AZ47" s="43" t="s">
        <v>563</v>
      </c>
      <c r="BA47" s="37" t="s">
        <v>568</v>
      </c>
      <c r="BC47" s="40">
        <f>AW47+AX47</f>
        <v>0</v>
      </c>
      <c r="BD47" s="40">
        <f>I47/(100-BE47)*100</f>
        <v>0</v>
      </c>
      <c r="BE47" s="40">
        <v>0</v>
      </c>
      <c r="BF47" s="40">
        <f>N47</f>
        <v>47</v>
      </c>
      <c r="BH47" s="28">
        <f>H47*AO47</f>
        <v>0</v>
      </c>
      <c r="BI47" s="28">
        <f>H47*AP47</f>
        <v>0</v>
      </c>
      <c r="BJ47" s="28">
        <f>H47*I47</f>
        <v>0</v>
      </c>
      <c r="BK47" s="28" t="s">
        <v>574</v>
      </c>
      <c r="BL47" s="40">
        <v>731</v>
      </c>
    </row>
    <row r="48" spans="1:64" x14ac:dyDescent="0.25">
      <c r="A48" s="7" t="s">
        <v>32</v>
      </c>
      <c r="B48" s="16" t="s">
        <v>178</v>
      </c>
      <c r="C48" s="139" t="s">
        <v>346</v>
      </c>
      <c r="D48" s="140"/>
      <c r="E48" s="140"/>
      <c r="F48" s="140"/>
      <c r="G48" s="16" t="s">
        <v>504</v>
      </c>
      <c r="H48" s="28">
        <v>1</v>
      </c>
      <c r="I48" s="28">
        <v>0</v>
      </c>
      <c r="J48" s="28">
        <f>H48*AO48</f>
        <v>0</v>
      </c>
      <c r="K48" s="28">
        <f>H48*AP48</f>
        <v>0</v>
      </c>
      <c r="L48" s="28">
        <f>H48*I48</f>
        <v>0</v>
      </c>
      <c r="M48" s="28">
        <v>1E-3</v>
      </c>
      <c r="N48" s="51">
        <f>H48*48</f>
        <v>48</v>
      </c>
      <c r="O48" s="6"/>
      <c r="Z48" s="40">
        <f>IF(AQ48="5",BJ48,0)</f>
        <v>0</v>
      </c>
      <c r="AB48" s="40">
        <f>IF(AQ48="1",BH48,0)</f>
        <v>0</v>
      </c>
      <c r="AC48" s="40">
        <f>IF(AQ48="1",BI48,0)</f>
        <v>0</v>
      </c>
      <c r="AD48" s="40">
        <f>IF(AQ48="7",BH48,0)</f>
        <v>0</v>
      </c>
      <c r="AE48" s="40">
        <f>IF(AQ48="7",BI48,0)</f>
        <v>0</v>
      </c>
      <c r="AF48" s="40">
        <f>IF(AQ48="2",BH48,0)</f>
        <v>0</v>
      </c>
      <c r="AG48" s="40">
        <f>IF(AQ48="2",BI48,0)</f>
        <v>0</v>
      </c>
      <c r="AH48" s="40">
        <f>IF(AQ48="0",BJ48,0)</f>
        <v>0</v>
      </c>
      <c r="AI48" s="37"/>
      <c r="AJ48" s="28">
        <f>IF(AN48=0,L48,0)</f>
        <v>0</v>
      </c>
      <c r="AK48" s="28">
        <f>IF(AN48=15,L48,0)</f>
        <v>0</v>
      </c>
      <c r="AL48" s="28">
        <f>IF(AN48=21,L48,0)</f>
        <v>0</v>
      </c>
      <c r="AN48" s="40">
        <v>21</v>
      </c>
      <c r="AO48" s="40">
        <f>I48*1</f>
        <v>0</v>
      </c>
      <c r="AP48" s="40">
        <f>I48*(1-1)</f>
        <v>0</v>
      </c>
      <c r="AQ48" s="42" t="s">
        <v>13</v>
      </c>
      <c r="AV48" s="40">
        <f>AW48+AX48</f>
        <v>0</v>
      </c>
      <c r="AW48" s="40">
        <f>H48*AO48</f>
        <v>0</v>
      </c>
      <c r="AX48" s="40">
        <f>H48*AP48</f>
        <v>0</v>
      </c>
      <c r="AY48" s="43" t="s">
        <v>535</v>
      </c>
      <c r="AZ48" s="43" t="s">
        <v>563</v>
      </c>
      <c r="BA48" s="37" t="s">
        <v>568</v>
      </c>
      <c r="BC48" s="40">
        <f>AW48+AX48</f>
        <v>0</v>
      </c>
      <c r="BD48" s="40">
        <f>I48/(100-BE48)*100</f>
        <v>0</v>
      </c>
      <c r="BE48" s="40">
        <v>0</v>
      </c>
      <c r="BF48" s="40">
        <f>N48</f>
        <v>48</v>
      </c>
      <c r="BH48" s="28">
        <f>H48*AO48</f>
        <v>0</v>
      </c>
      <c r="BI48" s="28">
        <f>H48*AP48</f>
        <v>0</v>
      </c>
      <c r="BJ48" s="28">
        <f>H48*I48</f>
        <v>0</v>
      </c>
      <c r="BK48" s="28" t="s">
        <v>574</v>
      </c>
      <c r="BL48" s="40">
        <v>731</v>
      </c>
    </row>
    <row r="49" spans="1:64" x14ac:dyDescent="0.25">
      <c r="A49" s="7" t="s">
        <v>33</v>
      </c>
      <c r="B49" s="16" t="s">
        <v>179</v>
      </c>
      <c r="C49" s="139" t="s">
        <v>347</v>
      </c>
      <c r="D49" s="140"/>
      <c r="E49" s="140"/>
      <c r="F49" s="140"/>
      <c r="G49" s="16" t="s">
        <v>504</v>
      </c>
      <c r="H49" s="28">
        <v>2</v>
      </c>
      <c r="I49" s="28">
        <v>0</v>
      </c>
      <c r="J49" s="28">
        <f>H49*AO49</f>
        <v>0</v>
      </c>
      <c r="K49" s="28">
        <f>H49*AP49</f>
        <v>0</v>
      </c>
      <c r="L49" s="28">
        <f>H49*I49</f>
        <v>0</v>
      </c>
      <c r="M49" s="28">
        <v>1E-3</v>
      </c>
      <c r="N49" s="51">
        <f>H49*49</f>
        <v>98</v>
      </c>
      <c r="O49" s="6"/>
      <c r="Z49" s="40">
        <f>IF(AQ49="5",BJ49,0)</f>
        <v>0</v>
      </c>
      <c r="AB49" s="40">
        <f>IF(AQ49="1",BH49,0)</f>
        <v>0</v>
      </c>
      <c r="AC49" s="40">
        <f>IF(AQ49="1",BI49,0)</f>
        <v>0</v>
      </c>
      <c r="AD49" s="40">
        <f>IF(AQ49="7",BH49,0)</f>
        <v>0</v>
      </c>
      <c r="AE49" s="40">
        <f>IF(AQ49="7",BI49,0)</f>
        <v>0</v>
      </c>
      <c r="AF49" s="40">
        <f>IF(AQ49="2",BH49,0)</f>
        <v>0</v>
      </c>
      <c r="AG49" s="40">
        <f>IF(AQ49="2",BI49,0)</f>
        <v>0</v>
      </c>
      <c r="AH49" s="40">
        <f>IF(AQ49="0",BJ49,0)</f>
        <v>0</v>
      </c>
      <c r="AI49" s="37"/>
      <c r="AJ49" s="28">
        <f>IF(AN49=0,L49,0)</f>
        <v>0</v>
      </c>
      <c r="AK49" s="28">
        <f>IF(AN49=15,L49,0)</f>
        <v>0</v>
      </c>
      <c r="AL49" s="28">
        <f>IF(AN49=21,L49,0)</f>
        <v>0</v>
      </c>
      <c r="AN49" s="40">
        <v>21</v>
      </c>
      <c r="AO49" s="40">
        <f>I49*1</f>
        <v>0</v>
      </c>
      <c r="AP49" s="40">
        <f>I49*(1-1)</f>
        <v>0</v>
      </c>
      <c r="AQ49" s="42" t="s">
        <v>13</v>
      </c>
      <c r="AV49" s="40">
        <f>AW49+AX49</f>
        <v>0</v>
      </c>
      <c r="AW49" s="40">
        <f>H49*AO49</f>
        <v>0</v>
      </c>
      <c r="AX49" s="40">
        <f>H49*AP49</f>
        <v>0</v>
      </c>
      <c r="AY49" s="43" t="s">
        <v>535</v>
      </c>
      <c r="AZ49" s="43" t="s">
        <v>563</v>
      </c>
      <c r="BA49" s="37" t="s">
        <v>568</v>
      </c>
      <c r="BC49" s="40">
        <f>AW49+AX49</f>
        <v>0</v>
      </c>
      <c r="BD49" s="40">
        <f>I49/(100-BE49)*100</f>
        <v>0</v>
      </c>
      <c r="BE49" s="40">
        <v>0</v>
      </c>
      <c r="BF49" s="40">
        <f>N49</f>
        <v>98</v>
      </c>
      <c r="BH49" s="28">
        <f>H49*AO49</f>
        <v>0</v>
      </c>
      <c r="BI49" s="28">
        <f>H49*AP49</f>
        <v>0</v>
      </c>
      <c r="BJ49" s="28">
        <f>H49*I49</f>
        <v>0</v>
      </c>
      <c r="BK49" s="28" t="s">
        <v>574</v>
      </c>
      <c r="BL49" s="40">
        <v>731</v>
      </c>
    </row>
    <row r="50" spans="1:64" x14ac:dyDescent="0.25">
      <c r="A50" s="5"/>
      <c r="B50" s="15" t="s">
        <v>180</v>
      </c>
      <c r="C50" s="137" t="s">
        <v>348</v>
      </c>
      <c r="D50" s="138"/>
      <c r="E50" s="138"/>
      <c r="F50" s="138"/>
      <c r="G50" s="24" t="s">
        <v>6</v>
      </c>
      <c r="H50" s="24" t="s">
        <v>6</v>
      </c>
      <c r="I50" s="24" t="s">
        <v>6</v>
      </c>
      <c r="J50" s="46">
        <f>SUM(J51:J57)</f>
        <v>0</v>
      </c>
      <c r="K50" s="46">
        <f>SUM(K51:K57)</f>
        <v>0</v>
      </c>
      <c r="L50" s="46">
        <f>SUM(L51:L57)</f>
        <v>0</v>
      </c>
      <c r="M50" s="37"/>
      <c r="N50" s="50">
        <f>SUM(N51:N57)</f>
        <v>988</v>
      </c>
      <c r="O50" s="6"/>
      <c r="AI50" s="37"/>
      <c r="AS50" s="46">
        <f>SUM(AJ51:AJ57)</f>
        <v>0</v>
      </c>
      <c r="AT50" s="46">
        <f>SUM(AK51:AK57)</f>
        <v>0</v>
      </c>
      <c r="AU50" s="46">
        <f>SUM(AL51:AL57)</f>
        <v>0</v>
      </c>
    </row>
    <row r="51" spans="1:64" x14ac:dyDescent="0.25">
      <c r="A51" s="4" t="s">
        <v>34</v>
      </c>
      <c r="B51" s="14" t="s">
        <v>181</v>
      </c>
      <c r="C51" s="135" t="s">
        <v>349</v>
      </c>
      <c r="D51" s="136"/>
      <c r="E51" s="136"/>
      <c r="F51" s="136"/>
      <c r="G51" s="14" t="s">
        <v>500</v>
      </c>
      <c r="H51" s="26">
        <v>1</v>
      </c>
      <c r="I51" s="26">
        <v>0</v>
      </c>
      <c r="J51" s="26">
        <f>H51*AO51</f>
        <v>0</v>
      </c>
      <c r="K51" s="26">
        <f>H51*AP51</f>
        <v>0</v>
      </c>
      <c r="L51" s="26">
        <f>H51*I51</f>
        <v>0</v>
      </c>
      <c r="M51" s="26">
        <v>6.9999999999999994E-5</v>
      </c>
      <c r="N51" s="49">
        <f>H51*51</f>
        <v>51</v>
      </c>
      <c r="O51" s="6"/>
      <c r="Z51" s="40">
        <f>IF(AQ51="5",BJ51,0)</f>
        <v>0</v>
      </c>
      <c r="AB51" s="40">
        <f>IF(AQ51="1",BH51,0)</f>
        <v>0</v>
      </c>
      <c r="AC51" s="40">
        <f>IF(AQ51="1",BI51,0)</f>
        <v>0</v>
      </c>
      <c r="AD51" s="40">
        <f>IF(AQ51="7",BH51,0)</f>
        <v>0</v>
      </c>
      <c r="AE51" s="40">
        <f>IF(AQ51="7",BI51,0)</f>
        <v>0</v>
      </c>
      <c r="AF51" s="40">
        <f>IF(AQ51="2",BH51,0)</f>
        <v>0</v>
      </c>
      <c r="AG51" s="40">
        <f>IF(AQ51="2",BI51,0)</f>
        <v>0</v>
      </c>
      <c r="AH51" s="40">
        <f>IF(AQ51="0",BJ51,0)</f>
        <v>0</v>
      </c>
      <c r="AI51" s="37"/>
      <c r="AJ51" s="26">
        <f>IF(AN51=0,L51,0)</f>
        <v>0</v>
      </c>
      <c r="AK51" s="26">
        <f>IF(AN51=15,L51,0)</f>
        <v>0</v>
      </c>
      <c r="AL51" s="26">
        <f>IF(AN51=21,L51,0)</f>
        <v>0</v>
      </c>
      <c r="AN51" s="40">
        <v>21</v>
      </c>
      <c r="AO51" s="40">
        <f>I51*0.0432820512820513</f>
        <v>0</v>
      </c>
      <c r="AP51" s="40">
        <f>I51*(1-0.0432820512820513)</f>
        <v>0</v>
      </c>
      <c r="AQ51" s="41" t="s">
        <v>13</v>
      </c>
      <c r="AV51" s="40">
        <f>AW51+AX51</f>
        <v>0</v>
      </c>
      <c r="AW51" s="40">
        <f>H51*AO51</f>
        <v>0</v>
      </c>
      <c r="AX51" s="40">
        <f>H51*AP51</f>
        <v>0</v>
      </c>
      <c r="AY51" s="43" t="s">
        <v>536</v>
      </c>
      <c r="AZ51" s="43" t="s">
        <v>563</v>
      </c>
      <c r="BA51" s="37" t="s">
        <v>568</v>
      </c>
      <c r="BC51" s="40">
        <f>AW51+AX51</f>
        <v>0</v>
      </c>
      <c r="BD51" s="40">
        <f>I51/(100-BE51)*100</f>
        <v>0</v>
      </c>
      <c r="BE51" s="40">
        <v>0</v>
      </c>
      <c r="BF51" s="40">
        <f>N51</f>
        <v>51</v>
      </c>
      <c r="BH51" s="26">
        <f>H51*AO51</f>
        <v>0</v>
      </c>
      <c r="BI51" s="26">
        <f>H51*AP51</f>
        <v>0</v>
      </c>
      <c r="BJ51" s="26">
        <f>H51*I51</f>
        <v>0</v>
      </c>
      <c r="BK51" s="26" t="s">
        <v>573</v>
      </c>
      <c r="BL51" s="40">
        <v>732</v>
      </c>
    </row>
    <row r="52" spans="1:64" x14ac:dyDescent="0.25">
      <c r="A52" s="4" t="s">
        <v>35</v>
      </c>
      <c r="B52" s="14" t="s">
        <v>182</v>
      </c>
      <c r="C52" s="135" t="s">
        <v>350</v>
      </c>
      <c r="D52" s="136"/>
      <c r="E52" s="136"/>
      <c r="F52" s="136"/>
      <c r="G52" s="14" t="s">
        <v>500</v>
      </c>
      <c r="H52" s="26">
        <v>2</v>
      </c>
      <c r="I52" s="26">
        <v>0</v>
      </c>
      <c r="J52" s="26">
        <f>H52*AO52</f>
        <v>0</v>
      </c>
      <c r="K52" s="26">
        <f>H52*AP52</f>
        <v>0</v>
      </c>
      <c r="L52" s="26">
        <f>H52*I52</f>
        <v>0</v>
      </c>
      <c r="M52" s="26">
        <v>3.3899999999999998E-3</v>
      </c>
      <c r="N52" s="49">
        <f>H52*52</f>
        <v>104</v>
      </c>
      <c r="O52" s="6"/>
      <c r="Z52" s="40">
        <f>IF(AQ52="5",BJ52,0)</f>
        <v>0</v>
      </c>
      <c r="AB52" s="40">
        <f>IF(AQ52="1",BH52,0)</f>
        <v>0</v>
      </c>
      <c r="AC52" s="40">
        <f>IF(AQ52="1",BI52,0)</f>
        <v>0</v>
      </c>
      <c r="AD52" s="40">
        <f>IF(AQ52="7",BH52,0)</f>
        <v>0</v>
      </c>
      <c r="AE52" s="40">
        <f>IF(AQ52="7",BI52,0)</f>
        <v>0</v>
      </c>
      <c r="AF52" s="40">
        <f>IF(AQ52="2",BH52,0)</f>
        <v>0</v>
      </c>
      <c r="AG52" s="40">
        <f>IF(AQ52="2",BI52,0)</f>
        <v>0</v>
      </c>
      <c r="AH52" s="40">
        <f>IF(AQ52="0",BJ52,0)</f>
        <v>0</v>
      </c>
      <c r="AI52" s="37"/>
      <c r="AJ52" s="26">
        <f>IF(AN52=0,L52,0)</f>
        <v>0</v>
      </c>
      <c r="AK52" s="26">
        <f>IF(AN52=15,L52,0)</f>
        <v>0</v>
      </c>
      <c r="AL52" s="26">
        <f>IF(AN52=21,L52,0)</f>
        <v>0</v>
      </c>
      <c r="AN52" s="40">
        <v>21</v>
      </c>
      <c r="AO52" s="40">
        <f>I52*0.932411854281364</f>
        <v>0</v>
      </c>
      <c r="AP52" s="40">
        <f>I52*(1-0.932411854281364)</f>
        <v>0</v>
      </c>
      <c r="AQ52" s="41" t="s">
        <v>13</v>
      </c>
      <c r="AV52" s="40">
        <f>AW52+AX52</f>
        <v>0</v>
      </c>
      <c r="AW52" s="40">
        <f>H52*AO52</f>
        <v>0</v>
      </c>
      <c r="AX52" s="40">
        <f>H52*AP52</f>
        <v>0</v>
      </c>
      <c r="AY52" s="43" t="s">
        <v>536</v>
      </c>
      <c r="AZ52" s="43" t="s">
        <v>563</v>
      </c>
      <c r="BA52" s="37" t="s">
        <v>568</v>
      </c>
      <c r="BC52" s="40">
        <f>AW52+AX52</f>
        <v>0</v>
      </c>
      <c r="BD52" s="40">
        <f>I52/(100-BE52)*100</f>
        <v>0</v>
      </c>
      <c r="BE52" s="40">
        <v>0</v>
      </c>
      <c r="BF52" s="40">
        <f>N52</f>
        <v>104</v>
      </c>
      <c r="BH52" s="26">
        <f>H52*AO52</f>
        <v>0</v>
      </c>
      <c r="BI52" s="26">
        <f>H52*AP52</f>
        <v>0</v>
      </c>
      <c r="BJ52" s="26">
        <f>H52*I52</f>
        <v>0</v>
      </c>
      <c r="BK52" s="26" t="s">
        <v>573</v>
      </c>
      <c r="BL52" s="40">
        <v>732</v>
      </c>
    </row>
    <row r="53" spans="1:64" x14ac:dyDescent="0.25">
      <c r="A53" s="4" t="s">
        <v>36</v>
      </c>
      <c r="B53" s="14" t="s">
        <v>183</v>
      </c>
      <c r="C53" s="135" t="s">
        <v>351</v>
      </c>
      <c r="D53" s="136"/>
      <c r="E53" s="136"/>
      <c r="F53" s="136"/>
      <c r="G53" s="14" t="s">
        <v>500</v>
      </c>
      <c r="H53" s="26">
        <v>1</v>
      </c>
      <c r="I53" s="26">
        <v>0</v>
      </c>
      <c r="J53" s="26">
        <f>H53*AO53</f>
        <v>0</v>
      </c>
      <c r="K53" s="26">
        <f>H53*AP53</f>
        <v>0</v>
      </c>
      <c r="L53" s="26">
        <f>H53*I53</f>
        <v>0</v>
      </c>
      <c r="M53" s="26">
        <v>5.9000000000000003E-4</v>
      </c>
      <c r="N53" s="49">
        <f>H53*53</f>
        <v>53</v>
      </c>
      <c r="O53" s="6"/>
      <c r="Z53" s="40">
        <f>IF(AQ53="5",BJ53,0)</f>
        <v>0</v>
      </c>
      <c r="AB53" s="40">
        <f>IF(AQ53="1",BH53,0)</f>
        <v>0</v>
      </c>
      <c r="AC53" s="40">
        <f>IF(AQ53="1",BI53,0)</f>
        <v>0</v>
      </c>
      <c r="AD53" s="40">
        <f>IF(AQ53="7",BH53,0)</f>
        <v>0</v>
      </c>
      <c r="AE53" s="40">
        <f>IF(AQ53="7",BI53,0)</f>
        <v>0</v>
      </c>
      <c r="AF53" s="40">
        <f>IF(AQ53="2",BH53,0)</f>
        <v>0</v>
      </c>
      <c r="AG53" s="40">
        <f>IF(AQ53="2",BI53,0)</f>
        <v>0</v>
      </c>
      <c r="AH53" s="40">
        <f>IF(AQ53="0",BJ53,0)</f>
        <v>0</v>
      </c>
      <c r="AI53" s="37"/>
      <c r="AJ53" s="26">
        <f>IF(AN53=0,L53,0)</f>
        <v>0</v>
      </c>
      <c r="AK53" s="26">
        <f>IF(AN53=15,L53,0)</f>
        <v>0</v>
      </c>
      <c r="AL53" s="26">
        <f>IF(AN53=21,L53,0)</f>
        <v>0</v>
      </c>
      <c r="AN53" s="40">
        <v>21</v>
      </c>
      <c r="AO53" s="40">
        <f>I53*0.977114939573155</f>
        <v>0</v>
      </c>
      <c r="AP53" s="40">
        <f>I53*(1-0.977114939573155)</f>
        <v>0</v>
      </c>
      <c r="AQ53" s="41" t="s">
        <v>13</v>
      </c>
      <c r="AV53" s="40">
        <f>AW53+AX53</f>
        <v>0</v>
      </c>
      <c r="AW53" s="40">
        <f>H53*AO53</f>
        <v>0</v>
      </c>
      <c r="AX53" s="40">
        <f>H53*AP53</f>
        <v>0</v>
      </c>
      <c r="AY53" s="43" t="s">
        <v>536</v>
      </c>
      <c r="AZ53" s="43" t="s">
        <v>563</v>
      </c>
      <c r="BA53" s="37" t="s">
        <v>568</v>
      </c>
      <c r="BC53" s="40">
        <f>AW53+AX53</f>
        <v>0</v>
      </c>
      <c r="BD53" s="40">
        <f>I53/(100-BE53)*100</f>
        <v>0</v>
      </c>
      <c r="BE53" s="40">
        <v>0</v>
      </c>
      <c r="BF53" s="40">
        <f>N53</f>
        <v>53</v>
      </c>
      <c r="BH53" s="26">
        <f>H53*AO53</f>
        <v>0</v>
      </c>
      <c r="BI53" s="26">
        <f>H53*AP53</f>
        <v>0</v>
      </c>
      <c r="BJ53" s="26">
        <f>H53*I53</f>
        <v>0</v>
      </c>
      <c r="BK53" s="26" t="s">
        <v>573</v>
      </c>
      <c r="BL53" s="40">
        <v>732</v>
      </c>
    </row>
    <row r="54" spans="1:64" x14ac:dyDescent="0.25">
      <c r="A54" s="4" t="s">
        <v>37</v>
      </c>
      <c r="B54" s="14" t="s">
        <v>184</v>
      </c>
      <c r="C54" s="135" t="s">
        <v>352</v>
      </c>
      <c r="D54" s="136"/>
      <c r="E54" s="136"/>
      <c r="F54" s="136"/>
      <c r="G54" s="14" t="s">
        <v>500</v>
      </c>
      <c r="H54" s="26">
        <v>2</v>
      </c>
      <c r="I54" s="26">
        <v>0</v>
      </c>
      <c r="J54" s="26">
        <f>H54*AO54</f>
        <v>0</v>
      </c>
      <c r="K54" s="26">
        <f>H54*AP54</f>
        <v>0</v>
      </c>
      <c r="L54" s="26">
        <f>H54*I54</f>
        <v>0</v>
      </c>
      <c r="M54" s="26">
        <v>7.0000000000000007E-2</v>
      </c>
      <c r="N54" s="49">
        <f>H54*54</f>
        <v>108</v>
      </c>
      <c r="O54" s="6"/>
      <c r="Z54" s="40">
        <f>IF(AQ54="5",BJ54,0)</f>
        <v>0</v>
      </c>
      <c r="AB54" s="40">
        <f>IF(AQ54="1",BH54,0)</f>
        <v>0</v>
      </c>
      <c r="AC54" s="40">
        <f>IF(AQ54="1",BI54,0)</f>
        <v>0</v>
      </c>
      <c r="AD54" s="40">
        <f>IF(AQ54="7",BH54,0)</f>
        <v>0</v>
      </c>
      <c r="AE54" s="40">
        <f>IF(AQ54="7",BI54,0)</f>
        <v>0</v>
      </c>
      <c r="AF54" s="40">
        <f>IF(AQ54="2",BH54,0)</f>
        <v>0</v>
      </c>
      <c r="AG54" s="40">
        <f>IF(AQ54="2",BI54,0)</f>
        <v>0</v>
      </c>
      <c r="AH54" s="40">
        <f>IF(AQ54="0",BJ54,0)</f>
        <v>0</v>
      </c>
      <c r="AI54" s="37"/>
      <c r="AJ54" s="26">
        <f>IF(AN54=0,L54,0)</f>
        <v>0</v>
      </c>
      <c r="AK54" s="26">
        <f>IF(AN54=15,L54,0)</f>
        <v>0</v>
      </c>
      <c r="AL54" s="26">
        <f>IF(AN54=21,L54,0)</f>
        <v>0</v>
      </c>
      <c r="AN54" s="40">
        <v>21</v>
      </c>
      <c r="AO54" s="40">
        <f>I54*0.953095251831766</f>
        <v>0</v>
      </c>
      <c r="AP54" s="40">
        <f>I54*(1-0.953095251831766)</f>
        <v>0</v>
      </c>
      <c r="AQ54" s="41" t="s">
        <v>13</v>
      </c>
      <c r="AV54" s="40">
        <f>AW54+AX54</f>
        <v>0</v>
      </c>
      <c r="AW54" s="40">
        <f>H54*AO54</f>
        <v>0</v>
      </c>
      <c r="AX54" s="40">
        <f>H54*AP54</f>
        <v>0</v>
      </c>
      <c r="AY54" s="43" t="s">
        <v>536</v>
      </c>
      <c r="AZ54" s="43" t="s">
        <v>563</v>
      </c>
      <c r="BA54" s="37" t="s">
        <v>568</v>
      </c>
      <c r="BC54" s="40">
        <f>AW54+AX54</f>
        <v>0</v>
      </c>
      <c r="BD54" s="40">
        <f>I54/(100-BE54)*100</f>
        <v>0</v>
      </c>
      <c r="BE54" s="40">
        <v>0</v>
      </c>
      <c r="BF54" s="40">
        <f>N54</f>
        <v>108</v>
      </c>
      <c r="BH54" s="26">
        <f>H54*AO54</f>
        <v>0</v>
      </c>
      <c r="BI54" s="26">
        <f>H54*AP54</f>
        <v>0</v>
      </c>
      <c r="BJ54" s="26">
        <f>H54*I54</f>
        <v>0</v>
      </c>
      <c r="BK54" s="26" t="s">
        <v>573</v>
      </c>
      <c r="BL54" s="40">
        <v>732</v>
      </c>
    </row>
    <row r="55" spans="1:64" x14ac:dyDescent="0.25">
      <c r="A55" s="4" t="s">
        <v>38</v>
      </c>
      <c r="B55" s="14" t="s">
        <v>185</v>
      </c>
      <c r="C55" s="135" t="s">
        <v>353</v>
      </c>
      <c r="D55" s="136"/>
      <c r="E55" s="136"/>
      <c r="F55" s="136"/>
      <c r="G55" s="14" t="s">
        <v>500</v>
      </c>
      <c r="H55" s="26">
        <v>6</v>
      </c>
      <c r="I55" s="26">
        <v>0</v>
      </c>
      <c r="J55" s="26">
        <f>H55*AO55</f>
        <v>0</v>
      </c>
      <c r="K55" s="26">
        <f>H55*AP55</f>
        <v>0</v>
      </c>
      <c r="L55" s="26">
        <f>H55*I55</f>
        <v>0</v>
      </c>
      <c r="M55" s="26">
        <v>8.4000000000000005E-2</v>
      </c>
      <c r="N55" s="49">
        <f>H55*55</f>
        <v>330</v>
      </c>
      <c r="O55" s="6"/>
      <c r="Z55" s="40">
        <f>IF(AQ55="5",BJ55,0)</f>
        <v>0</v>
      </c>
      <c r="AB55" s="40">
        <f>IF(AQ55="1",BH55,0)</f>
        <v>0</v>
      </c>
      <c r="AC55" s="40">
        <f>IF(AQ55="1",BI55,0)</f>
        <v>0</v>
      </c>
      <c r="AD55" s="40">
        <f>IF(AQ55="7",BH55,0)</f>
        <v>0</v>
      </c>
      <c r="AE55" s="40">
        <f>IF(AQ55="7",BI55,0)</f>
        <v>0</v>
      </c>
      <c r="AF55" s="40">
        <f>IF(AQ55="2",BH55,0)</f>
        <v>0</v>
      </c>
      <c r="AG55" s="40">
        <f>IF(AQ55="2",BI55,0)</f>
        <v>0</v>
      </c>
      <c r="AH55" s="40">
        <f>IF(AQ55="0",BJ55,0)</f>
        <v>0</v>
      </c>
      <c r="AI55" s="37"/>
      <c r="AJ55" s="26">
        <f>IF(AN55=0,L55,0)</f>
        <v>0</v>
      </c>
      <c r="AK55" s="26">
        <f>IF(AN55=15,L55,0)</f>
        <v>0</v>
      </c>
      <c r="AL55" s="26">
        <f>IF(AN55=21,L55,0)</f>
        <v>0</v>
      </c>
      <c r="AN55" s="40">
        <v>21</v>
      </c>
      <c r="AO55" s="40">
        <f>I55*0.892475437805189</f>
        <v>0</v>
      </c>
      <c r="AP55" s="40">
        <f>I55*(1-0.892475437805189)</f>
        <v>0</v>
      </c>
      <c r="AQ55" s="41" t="s">
        <v>13</v>
      </c>
      <c r="AV55" s="40">
        <f>AW55+AX55</f>
        <v>0</v>
      </c>
      <c r="AW55" s="40">
        <f>H55*AO55</f>
        <v>0</v>
      </c>
      <c r="AX55" s="40">
        <f>H55*AP55</f>
        <v>0</v>
      </c>
      <c r="AY55" s="43" t="s">
        <v>536</v>
      </c>
      <c r="AZ55" s="43" t="s">
        <v>563</v>
      </c>
      <c r="BA55" s="37" t="s">
        <v>568</v>
      </c>
      <c r="BC55" s="40">
        <f>AW55+AX55</f>
        <v>0</v>
      </c>
      <c r="BD55" s="40">
        <f>I55/(100-BE55)*100</f>
        <v>0</v>
      </c>
      <c r="BE55" s="40">
        <v>0</v>
      </c>
      <c r="BF55" s="40">
        <f>N55</f>
        <v>330</v>
      </c>
      <c r="BH55" s="26">
        <f>H55*AO55</f>
        <v>0</v>
      </c>
      <c r="BI55" s="26">
        <f>H55*AP55</f>
        <v>0</v>
      </c>
      <c r="BJ55" s="26">
        <f>H55*I55</f>
        <v>0</v>
      </c>
      <c r="BK55" s="26" t="s">
        <v>573</v>
      </c>
      <c r="BL55" s="40">
        <v>732</v>
      </c>
    </row>
    <row r="56" spans="1:64" x14ac:dyDescent="0.25">
      <c r="A56" s="6"/>
      <c r="C56" s="18" t="s">
        <v>354</v>
      </c>
      <c r="F56" s="21"/>
      <c r="H56" s="27">
        <v>0</v>
      </c>
      <c r="N56" s="38"/>
      <c r="O56" s="6"/>
    </row>
    <row r="57" spans="1:64" x14ac:dyDescent="0.25">
      <c r="A57" s="4" t="s">
        <v>39</v>
      </c>
      <c r="B57" s="14" t="s">
        <v>186</v>
      </c>
      <c r="C57" s="135" t="s">
        <v>355</v>
      </c>
      <c r="D57" s="136"/>
      <c r="E57" s="136"/>
      <c r="F57" s="136"/>
      <c r="G57" s="14" t="s">
        <v>500</v>
      </c>
      <c r="H57" s="26">
        <v>6</v>
      </c>
      <c r="I57" s="26">
        <v>0</v>
      </c>
      <c r="J57" s="26">
        <f>H57*AO57</f>
        <v>0</v>
      </c>
      <c r="K57" s="26">
        <f>H57*AP57</f>
        <v>0</v>
      </c>
      <c r="L57" s="26">
        <f>H57*I57</f>
        <v>0</v>
      </c>
      <c r="M57" s="26">
        <v>1.7000000000000001E-2</v>
      </c>
      <c r="N57" s="49">
        <f>H57*57</f>
        <v>342</v>
      </c>
      <c r="O57" s="6"/>
      <c r="Z57" s="40">
        <f>IF(AQ57="5",BJ57,0)</f>
        <v>0</v>
      </c>
      <c r="AB57" s="40">
        <f>IF(AQ57="1",BH57,0)</f>
        <v>0</v>
      </c>
      <c r="AC57" s="40">
        <f>IF(AQ57="1",BI57,0)</f>
        <v>0</v>
      </c>
      <c r="AD57" s="40">
        <f>IF(AQ57="7",BH57,0)</f>
        <v>0</v>
      </c>
      <c r="AE57" s="40">
        <f>IF(AQ57="7",BI57,0)</f>
        <v>0</v>
      </c>
      <c r="AF57" s="40">
        <f>IF(AQ57="2",BH57,0)</f>
        <v>0</v>
      </c>
      <c r="AG57" s="40">
        <f>IF(AQ57="2",BI57,0)</f>
        <v>0</v>
      </c>
      <c r="AH57" s="40">
        <f>IF(AQ57="0",BJ57,0)</f>
        <v>0</v>
      </c>
      <c r="AI57" s="37"/>
      <c r="AJ57" s="26">
        <f>IF(AN57=0,L57,0)</f>
        <v>0</v>
      </c>
      <c r="AK57" s="26">
        <f>IF(AN57=15,L57,0)</f>
        <v>0</v>
      </c>
      <c r="AL57" s="26">
        <f>IF(AN57=21,L57,0)</f>
        <v>0</v>
      </c>
      <c r="AN57" s="40">
        <v>21</v>
      </c>
      <c r="AO57" s="40">
        <f>I57*0.866885861906999</f>
        <v>0</v>
      </c>
      <c r="AP57" s="40">
        <f>I57*(1-0.866885861906999)</f>
        <v>0</v>
      </c>
      <c r="AQ57" s="41" t="s">
        <v>13</v>
      </c>
      <c r="AV57" s="40">
        <f>AW57+AX57</f>
        <v>0</v>
      </c>
      <c r="AW57" s="40">
        <f>H57*AO57</f>
        <v>0</v>
      </c>
      <c r="AX57" s="40">
        <f>H57*AP57</f>
        <v>0</v>
      </c>
      <c r="AY57" s="43" t="s">
        <v>536</v>
      </c>
      <c r="AZ57" s="43" t="s">
        <v>563</v>
      </c>
      <c r="BA57" s="37" t="s">
        <v>568</v>
      </c>
      <c r="BC57" s="40">
        <f>AW57+AX57</f>
        <v>0</v>
      </c>
      <c r="BD57" s="40">
        <f>I57/(100-BE57)*100</f>
        <v>0</v>
      </c>
      <c r="BE57" s="40">
        <v>0</v>
      </c>
      <c r="BF57" s="40">
        <f>N57</f>
        <v>342</v>
      </c>
      <c r="BH57" s="26">
        <f>H57*AO57</f>
        <v>0</v>
      </c>
      <c r="BI57" s="26">
        <f>H57*AP57</f>
        <v>0</v>
      </c>
      <c r="BJ57" s="26">
        <f>H57*I57</f>
        <v>0</v>
      </c>
      <c r="BK57" s="26" t="s">
        <v>573</v>
      </c>
      <c r="BL57" s="40">
        <v>732</v>
      </c>
    </row>
    <row r="58" spans="1:64" x14ac:dyDescent="0.25">
      <c r="A58" s="5"/>
      <c r="B58" s="15" t="s">
        <v>187</v>
      </c>
      <c r="C58" s="137" t="s">
        <v>356</v>
      </c>
      <c r="D58" s="138"/>
      <c r="E58" s="138"/>
      <c r="F58" s="138"/>
      <c r="G58" s="24" t="s">
        <v>6</v>
      </c>
      <c r="H58" s="24" t="s">
        <v>6</v>
      </c>
      <c r="I58" s="24" t="s">
        <v>6</v>
      </c>
      <c r="J58" s="46">
        <f>SUM(J59:J66)</f>
        <v>0</v>
      </c>
      <c r="K58" s="46">
        <f>SUM(K59:K66)</f>
        <v>0</v>
      </c>
      <c r="L58" s="46">
        <f>SUM(L59:L66)</f>
        <v>0</v>
      </c>
      <c r="M58" s="37"/>
      <c r="N58" s="50">
        <f>SUM(N59:N66)</f>
        <v>5307</v>
      </c>
      <c r="O58" s="6"/>
      <c r="AI58" s="37"/>
      <c r="AS58" s="46">
        <f>SUM(AJ59:AJ66)</f>
        <v>0</v>
      </c>
      <c r="AT58" s="46">
        <f>SUM(AK59:AK66)</f>
        <v>0</v>
      </c>
      <c r="AU58" s="46">
        <f>SUM(AL59:AL66)</f>
        <v>0</v>
      </c>
    </row>
    <row r="59" spans="1:64" x14ac:dyDescent="0.25">
      <c r="A59" s="4" t="s">
        <v>40</v>
      </c>
      <c r="B59" s="14" t="s">
        <v>188</v>
      </c>
      <c r="C59" s="135" t="s">
        <v>357</v>
      </c>
      <c r="D59" s="136"/>
      <c r="E59" s="136"/>
      <c r="F59" s="136"/>
      <c r="G59" s="14" t="s">
        <v>502</v>
      </c>
      <c r="H59" s="26">
        <v>3</v>
      </c>
      <c r="I59" s="26">
        <v>0</v>
      </c>
      <c r="J59" s="26">
        <f t="shared" ref="J59:J66" si="23">H59*AO59</f>
        <v>0</v>
      </c>
      <c r="K59" s="26">
        <f t="shared" ref="K59:K66" si="24">H59*AP59</f>
        <v>0</v>
      </c>
      <c r="L59" s="26">
        <f t="shared" ref="L59:L66" si="25">H59*I59</f>
        <v>0</v>
      </c>
      <c r="M59" s="26">
        <v>2.0000000000000002E-5</v>
      </c>
      <c r="N59" s="49">
        <f>H59*59</f>
        <v>177</v>
      </c>
      <c r="O59" s="6"/>
      <c r="Z59" s="40">
        <f t="shared" ref="Z59:Z66" si="26">IF(AQ59="5",BJ59,0)</f>
        <v>0</v>
      </c>
      <c r="AB59" s="40">
        <f t="shared" ref="AB59:AB66" si="27">IF(AQ59="1",BH59,0)</f>
        <v>0</v>
      </c>
      <c r="AC59" s="40">
        <f t="shared" ref="AC59:AC66" si="28">IF(AQ59="1",BI59,0)</f>
        <v>0</v>
      </c>
      <c r="AD59" s="40">
        <f t="shared" ref="AD59:AD66" si="29">IF(AQ59="7",BH59,0)</f>
        <v>0</v>
      </c>
      <c r="AE59" s="40">
        <f t="shared" ref="AE59:AE66" si="30">IF(AQ59="7",BI59,0)</f>
        <v>0</v>
      </c>
      <c r="AF59" s="40">
        <f t="shared" ref="AF59:AF66" si="31">IF(AQ59="2",BH59,0)</f>
        <v>0</v>
      </c>
      <c r="AG59" s="40">
        <f t="shared" ref="AG59:AG66" si="32">IF(AQ59="2",BI59,0)</f>
        <v>0</v>
      </c>
      <c r="AH59" s="40">
        <f t="shared" ref="AH59:AH66" si="33">IF(AQ59="0",BJ59,0)</f>
        <v>0</v>
      </c>
      <c r="AI59" s="37"/>
      <c r="AJ59" s="26">
        <f t="shared" ref="AJ59:AJ66" si="34">IF(AN59=0,L59,0)</f>
        <v>0</v>
      </c>
      <c r="AK59" s="26">
        <f t="shared" ref="AK59:AK66" si="35">IF(AN59=15,L59,0)</f>
        <v>0</v>
      </c>
      <c r="AL59" s="26">
        <f t="shared" ref="AL59:AL66" si="36">IF(AN59=21,L59,0)</f>
        <v>0</v>
      </c>
      <c r="AN59" s="40">
        <v>21</v>
      </c>
      <c r="AO59" s="40">
        <f>I59*0.164117647058824</f>
        <v>0</v>
      </c>
      <c r="AP59" s="40">
        <f>I59*(1-0.164117647058824)</f>
        <v>0</v>
      </c>
      <c r="AQ59" s="41" t="s">
        <v>13</v>
      </c>
      <c r="AV59" s="40">
        <f t="shared" ref="AV59:AV66" si="37">AW59+AX59</f>
        <v>0</v>
      </c>
      <c r="AW59" s="40">
        <f t="shared" ref="AW59:AW66" si="38">H59*AO59</f>
        <v>0</v>
      </c>
      <c r="AX59" s="40">
        <f t="shared" ref="AX59:AX66" si="39">H59*AP59</f>
        <v>0</v>
      </c>
      <c r="AY59" s="43" t="s">
        <v>537</v>
      </c>
      <c r="AZ59" s="43" t="s">
        <v>563</v>
      </c>
      <c r="BA59" s="37" t="s">
        <v>568</v>
      </c>
      <c r="BC59" s="40">
        <f t="shared" ref="BC59:BC66" si="40">AW59+AX59</f>
        <v>0</v>
      </c>
      <c r="BD59" s="40">
        <f t="shared" ref="BD59:BD66" si="41">I59/(100-BE59)*100</f>
        <v>0</v>
      </c>
      <c r="BE59" s="40">
        <v>0</v>
      </c>
      <c r="BF59" s="40">
        <f t="shared" ref="BF59:BF66" si="42">N59</f>
        <v>177</v>
      </c>
      <c r="BH59" s="26">
        <f t="shared" ref="BH59:BH66" si="43">H59*AO59</f>
        <v>0</v>
      </c>
      <c r="BI59" s="26">
        <f t="shared" ref="BI59:BI66" si="44">H59*AP59</f>
        <v>0</v>
      </c>
      <c r="BJ59" s="26">
        <f t="shared" ref="BJ59:BJ66" si="45">H59*I59</f>
        <v>0</v>
      </c>
      <c r="BK59" s="26" t="s">
        <v>573</v>
      </c>
      <c r="BL59" s="40">
        <v>733</v>
      </c>
    </row>
    <row r="60" spans="1:64" x14ac:dyDescent="0.25">
      <c r="A60" s="4" t="s">
        <v>41</v>
      </c>
      <c r="B60" s="14" t="s">
        <v>189</v>
      </c>
      <c r="C60" s="135" t="s">
        <v>358</v>
      </c>
      <c r="D60" s="136"/>
      <c r="E60" s="136"/>
      <c r="F60" s="136"/>
      <c r="G60" s="14" t="s">
        <v>502</v>
      </c>
      <c r="H60" s="26">
        <v>5</v>
      </c>
      <c r="I60" s="26">
        <v>0</v>
      </c>
      <c r="J60" s="26">
        <f t="shared" si="23"/>
        <v>0</v>
      </c>
      <c r="K60" s="26">
        <f t="shared" si="24"/>
        <v>0</v>
      </c>
      <c r="L60" s="26">
        <f t="shared" si="25"/>
        <v>0</v>
      </c>
      <c r="M60" s="26">
        <v>5.0000000000000002E-5</v>
      </c>
      <c r="N60" s="49">
        <f>H60*60</f>
        <v>300</v>
      </c>
      <c r="O60" s="6"/>
      <c r="Z60" s="40">
        <f t="shared" si="26"/>
        <v>0</v>
      </c>
      <c r="AB60" s="40">
        <f t="shared" si="27"/>
        <v>0</v>
      </c>
      <c r="AC60" s="40">
        <f t="shared" si="28"/>
        <v>0</v>
      </c>
      <c r="AD60" s="40">
        <f t="shared" si="29"/>
        <v>0</v>
      </c>
      <c r="AE60" s="40">
        <f t="shared" si="30"/>
        <v>0</v>
      </c>
      <c r="AF60" s="40">
        <f t="shared" si="31"/>
        <v>0</v>
      </c>
      <c r="AG60" s="40">
        <f t="shared" si="32"/>
        <v>0</v>
      </c>
      <c r="AH60" s="40">
        <f t="shared" si="33"/>
        <v>0</v>
      </c>
      <c r="AI60" s="37"/>
      <c r="AJ60" s="26">
        <f t="shared" si="34"/>
        <v>0</v>
      </c>
      <c r="AK60" s="26">
        <f t="shared" si="35"/>
        <v>0</v>
      </c>
      <c r="AL60" s="26">
        <f t="shared" si="36"/>
        <v>0</v>
      </c>
      <c r="AN60" s="40">
        <v>21</v>
      </c>
      <c r="AO60" s="40">
        <f>I60*0.216838487972509</f>
        <v>0</v>
      </c>
      <c r="AP60" s="40">
        <f>I60*(1-0.216838487972509)</f>
        <v>0</v>
      </c>
      <c r="AQ60" s="41" t="s">
        <v>13</v>
      </c>
      <c r="AV60" s="40">
        <f t="shared" si="37"/>
        <v>0</v>
      </c>
      <c r="AW60" s="40">
        <f t="shared" si="38"/>
        <v>0</v>
      </c>
      <c r="AX60" s="40">
        <f t="shared" si="39"/>
        <v>0</v>
      </c>
      <c r="AY60" s="43" t="s">
        <v>537</v>
      </c>
      <c r="AZ60" s="43" t="s">
        <v>563</v>
      </c>
      <c r="BA60" s="37" t="s">
        <v>568</v>
      </c>
      <c r="BC60" s="40">
        <f t="shared" si="40"/>
        <v>0</v>
      </c>
      <c r="BD60" s="40">
        <f t="shared" si="41"/>
        <v>0</v>
      </c>
      <c r="BE60" s="40">
        <v>0</v>
      </c>
      <c r="BF60" s="40">
        <f t="shared" si="42"/>
        <v>300</v>
      </c>
      <c r="BH60" s="26">
        <f t="shared" si="43"/>
        <v>0</v>
      </c>
      <c r="BI60" s="26">
        <f t="shared" si="44"/>
        <v>0</v>
      </c>
      <c r="BJ60" s="26">
        <f t="shared" si="45"/>
        <v>0</v>
      </c>
      <c r="BK60" s="26" t="s">
        <v>573</v>
      </c>
      <c r="BL60" s="40">
        <v>733</v>
      </c>
    </row>
    <row r="61" spans="1:64" x14ac:dyDescent="0.25">
      <c r="A61" s="4" t="s">
        <v>42</v>
      </c>
      <c r="B61" s="14" t="s">
        <v>190</v>
      </c>
      <c r="C61" s="135" t="s">
        <v>359</v>
      </c>
      <c r="D61" s="136"/>
      <c r="E61" s="136"/>
      <c r="F61" s="136"/>
      <c r="G61" s="14" t="s">
        <v>502</v>
      </c>
      <c r="H61" s="26">
        <v>4</v>
      </c>
      <c r="I61" s="26">
        <v>0</v>
      </c>
      <c r="J61" s="26">
        <f t="shared" si="23"/>
        <v>0</v>
      </c>
      <c r="K61" s="26">
        <f t="shared" si="24"/>
        <v>0</v>
      </c>
      <c r="L61" s="26">
        <f t="shared" si="25"/>
        <v>0</v>
      </c>
      <c r="M61" s="26">
        <v>9.0000000000000006E-5</v>
      </c>
      <c r="N61" s="49">
        <f>H61*61</f>
        <v>244</v>
      </c>
      <c r="O61" s="6"/>
      <c r="Z61" s="40">
        <f t="shared" si="26"/>
        <v>0</v>
      </c>
      <c r="AB61" s="40">
        <f t="shared" si="27"/>
        <v>0</v>
      </c>
      <c r="AC61" s="40">
        <f t="shared" si="28"/>
        <v>0</v>
      </c>
      <c r="AD61" s="40">
        <f t="shared" si="29"/>
        <v>0</v>
      </c>
      <c r="AE61" s="40">
        <f t="shared" si="30"/>
        <v>0</v>
      </c>
      <c r="AF61" s="40">
        <f t="shared" si="31"/>
        <v>0</v>
      </c>
      <c r="AG61" s="40">
        <f t="shared" si="32"/>
        <v>0</v>
      </c>
      <c r="AH61" s="40">
        <f t="shared" si="33"/>
        <v>0</v>
      </c>
      <c r="AI61" s="37"/>
      <c r="AJ61" s="26">
        <f t="shared" si="34"/>
        <v>0</v>
      </c>
      <c r="AK61" s="26">
        <f t="shared" si="35"/>
        <v>0</v>
      </c>
      <c r="AL61" s="26">
        <f t="shared" si="36"/>
        <v>0</v>
      </c>
      <c r="AN61" s="40">
        <v>21</v>
      </c>
      <c r="AO61" s="40">
        <f>I61*0.345714285714286</f>
        <v>0</v>
      </c>
      <c r="AP61" s="40">
        <f>I61*(1-0.345714285714286)</f>
        <v>0</v>
      </c>
      <c r="AQ61" s="41" t="s">
        <v>13</v>
      </c>
      <c r="AV61" s="40">
        <f t="shared" si="37"/>
        <v>0</v>
      </c>
      <c r="AW61" s="40">
        <f t="shared" si="38"/>
        <v>0</v>
      </c>
      <c r="AX61" s="40">
        <f t="shared" si="39"/>
        <v>0</v>
      </c>
      <c r="AY61" s="43" t="s">
        <v>537</v>
      </c>
      <c r="AZ61" s="43" t="s">
        <v>563</v>
      </c>
      <c r="BA61" s="37" t="s">
        <v>568</v>
      </c>
      <c r="BC61" s="40">
        <f t="shared" si="40"/>
        <v>0</v>
      </c>
      <c r="BD61" s="40">
        <f t="shared" si="41"/>
        <v>0</v>
      </c>
      <c r="BE61" s="40">
        <v>0</v>
      </c>
      <c r="BF61" s="40">
        <f t="shared" si="42"/>
        <v>244</v>
      </c>
      <c r="BH61" s="26">
        <f t="shared" si="43"/>
        <v>0</v>
      </c>
      <c r="BI61" s="26">
        <f t="shared" si="44"/>
        <v>0</v>
      </c>
      <c r="BJ61" s="26">
        <f t="shared" si="45"/>
        <v>0</v>
      </c>
      <c r="BK61" s="26" t="s">
        <v>573</v>
      </c>
      <c r="BL61" s="40">
        <v>733</v>
      </c>
    </row>
    <row r="62" spans="1:64" x14ac:dyDescent="0.25">
      <c r="A62" s="4" t="s">
        <v>43</v>
      </c>
      <c r="B62" s="14" t="s">
        <v>191</v>
      </c>
      <c r="C62" s="135" t="s">
        <v>360</v>
      </c>
      <c r="D62" s="136"/>
      <c r="E62" s="136"/>
      <c r="F62" s="136"/>
      <c r="G62" s="14" t="s">
        <v>500</v>
      </c>
      <c r="H62" s="26">
        <v>2</v>
      </c>
      <c r="I62" s="26">
        <v>0</v>
      </c>
      <c r="J62" s="26">
        <f t="shared" si="23"/>
        <v>0</v>
      </c>
      <c r="K62" s="26">
        <f t="shared" si="24"/>
        <v>0</v>
      </c>
      <c r="L62" s="26">
        <f t="shared" si="25"/>
        <v>0</v>
      </c>
      <c r="M62" s="26">
        <v>2.3999999999999998E-3</v>
      </c>
      <c r="N62" s="49">
        <f>H62*62</f>
        <v>124</v>
      </c>
      <c r="O62" s="6"/>
      <c r="Z62" s="40">
        <f t="shared" si="26"/>
        <v>0</v>
      </c>
      <c r="AB62" s="40">
        <f t="shared" si="27"/>
        <v>0</v>
      </c>
      <c r="AC62" s="40">
        <f t="shared" si="28"/>
        <v>0</v>
      </c>
      <c r="AD62" s="40">
        <f t="shared" si="29"/>
        <v>0</v>
      </c>
      <c r="AE62" s="40">
        <f t="shared" si="30"/>
        <v>0</v>
      </c>
      <c r="AF62" s="40">
        <f t="shared" si="31"/>
        <v>0</v>
      </c>
      <c r="AG62" s="40">
        <f t="shared" si="32"/>
        <v>0</v>
      </c>
      <c r="AH62" s="40">
        <f t="shared" si="33"/>
        <v>0</v>
      </c>
      <c r="AI62" s="37"/>
      <c r="AJ62" s="26">
        <f t="shared" si="34"/>
        <v>0</v>
      </c>
      <c r="AK62" s="26">
        <f t="shared" si="35"/>
        <v>0</v>
      </c>
      <c r="AL62" s="26">
        <f t="shared" si="36"/>
        <v>0</v>
      </c>
      <c r="AN62" s="40">
        <v>21</v>
      </c>
      <c r="AO62" s="40">
        <f>I62*0.416742364917776</f>
        <v>0</v>
      </c>
      <c r="AP62" s="40">
        <f>I62*(1-0.416742364917776)</f>
        <v>0</v>
      </c>
      <c r="AQ62" s="41" t="s">
        <v>13</v>
      </c>
      <c r="AV62" s="40">
        <f t="shared" si="37"/>
        <v>0</v>
      </c>
      <c r="AW62" s="40">
        <f t="shared" si="38"/>
        <v>0</v>
      </c>
      <c r="AX62" s="40">
        <f t="shared" si="39"/>
        <v>0</v>
      </c>
      <c r="AY62" s="43" t="s">
        <v>537</v>
      </c>
      <c r="AZ62" s="43" t="s">
        <v>563</v>
      </c>
      <c r="BA62" s="37" t="s">
        <v>568</v>
      </c>
      <c r="BC62" s="40">
        <f t="shared" si="40"/>
        <v>0</v>
      </c>
      <c r="BD62" s="40">
        <f t="shared" si="41"/>
        <v>0</v>
      </c>
      <c r="BE62" s="40">
        <v>0</v>
      </c>
      <c r="BF62" s="40">
        <f t="shared" si="42"/>
        <v>124</v>
      </c>
      <c r="BH62" s="26">
        <f t="shared" si="43"/>
        <v>0</v>
      </c>
      <c r="BI62" s="26">
        <f t="shared" si="44"/>
        <v>0</v>
      </c>
      <c r="BJ62" s="26">
        <f t="shared" si="45"/>
        <v>0</v>
      </c>
      <c r="BK62" s="26" t="s">
        <v>573</v>
      </c>
      <c r="BL62" s="40">
        <v>733</v>
      </c>
    </row>
    <row r="63" spans="1:64" x14ac:dyDescent="0.25">
      <c r="A63" s="4" t="s">
        <v>44</v>
      </c>
      <c r="B63" s="14" t="s">
        <v>192</v>
      </c>
      <c r="C63" s="135" t="s">
        <v>361</v>
      </c>
      <c r="D63" s="136"/>
      <c r="E63" s="136"/>
      <c r="F63" s="136"/>
      <c r="G63" s="14" t="s">
        <v>502</v>
      </c>
      <c r="H63" s="26">
        <v>26</v>
      </c>
      <c r="I63" s="26">
        <v>0</v>
      </c>
      <c r="J63" s="26">
        <f t="shared" si="23"/>
        <v>0</v>
      </c>
      <c r="K63" s="26">
        <f t="shared" si="24"/>
        <v>0</v>
      </c>
      <c r="L63" s="26">
        <f t="shared" si="25"/>
        <v>0</v>
      </c>
      <c r="M63" s="26">
        <v>1.0120000000000001E-2</v>
      </c>
      <c r="N63" s="49">
        <f>H63*63</f>
        <v>1638</v>
      </c>
      <c r="O63" s="6"/>
      <c r="Z63" s="40">
        <f t="shared" si="26"/>
        <v>0</v>
      </c>
      <c r="AB63" s="40">
        <f t="shared" si="27"/>
        <v>0</v>
      </c>
      <c r="AC63" s="40">
        <f t="shared" si="28"/>
        <v>0</v>
      </c>
      <c r="AD63" s="40">
        <f t="shared" si="29"/>
        <v>0</v>
      </c>
      <c r="AE63" s="40">
        <f t="shared" si="30"/>
        <v>0</v>
      </c>
      <c r="AF63" s="40">
        <f t="shared" si="31"/>
        <v>0</v>
      </c>
      <c r="AG63" s="40">
        <f t="shared" si="32"/>
        <v>0</v>
      </c>
      <c r="AH63" s="40">
        <f t="shared" si="33"/>
        <v>0</v>
      </c>
      <c r="AI63" s="37"/>
      <c r="AJ63" s="26">
        <f t="shared" si="34"/>
        <v>0</v>
      </c>
      <c r="AK63" s="26">
        <f t="shared" si="35"/>
        <v>0</v>
      </c>
      <c r="AL63" s="26">
        <f t="shared" si="36"/>
        <v>0</v>
      </c>
      <c r="AN63" s="40">
        <v>21</v>
      </c>
      <c r="AO63" s="40">
        <f>I63*0.583409523809524</f>
        <v>0</v>
      </c>
      <c r="AP63" s="40">
        <f>I63*(1-0.583409523809524)</f>
        <v>0</v>
      </c>
      <c r="AQ63" s="41" t="s">
        <v>13</v>
      </c>
      <c r="AV63" s="40">
        <f t="shared" si="37"/>
        <v>0</v>
      </c>
      <c r="AW63" s="40">
        <f t="shared" si="38"/>
        <v>0</v>
      </c>
      <c r="AX63" s="40">
        <f t="shared" si="39"/>
        <v>0</v>
      </c>
      <c r="AY63" s="43" t="s">
        <v>537</v>
      </c>
      <c r="AZ63" s="43" t="s">
        <v>563</v>
      </c>
      <c r="BA63" s="37" t="s">
        <v>568</v>
      </c>
      <c r="BC63" s="40">
        <f t="shared" si="40"/>
        <v>0</v>
      </c>
      <c r="BD63" s="40">
        <f t="shared" si="41"/>
        <v>0</v>
      </c>
      <c r="BE63" s="40">
        <v>0</v>
      </c>
      <c r="BF63" s="40">
        <f t="shared" si="42"/>
        <v>1638</v>
      </c>
      <c r="BH63" s="26">
        <f t="shared" si="43"/>
        <v>0</v>
      </c>
      <c r="BI63" s="26">
        <f t="shared" si="44"/>
        <v>0</v>
      </c>
      <c r="BJ63" s="26">
        <f t="shared" si="45"/>
        <v>0</v>
      </c>
      <c r="BK63" s="26" t="s">
        <v>573</v>
      </c>
      <c r="BL63" s="40">
        <v>733</v>
      </c>
    </row>
    <row r="64" spans="1:64" x14ac:dyDescent="0.25">
      <c r="A64" s="4" t="s">
        <v>45</v>
      </c>
      <c r="B64" s="14" t="s">
        <v>193</v>
      </c>
      <c r="C64" s="135" t="s">
        <v>362</v>
      </c>
      <c r="D64" s="136"/>
      <c r="E64" s="136"/>
      <c r="F64" s="136"/>
      <c r="G64" s="14" t="s">
        <v>502</v>
      </c>
      <c r="H64" s="26">
        <v>38</v>
      </c>
      <c r="I64" s="26">
        <v>0</v>
      </c>
      <c r="J64" s="26">
        <f t="shared" si="23"/>
        <v>0</v>
      </c>
      <c r="K64" s="26">
        <f t="shared" si="24"/>
        <v>0</v>
      </c>
      <c r="L64" s="26">
        <f t="shared" si="25"/>
        <v>0</v>
      </c>
      <c r="M64" s="26">
        <v>8.2699999999999996E-3</v>
      </c>
      <c r="N64" s="49">
        <f>H64*64</f>
        <v>2432</v>
      </c>
      <c r="O64" s="6"/>
      <c r="Z64" s="40">
        <f t="shared" si="26"/>
        <v>0</v>
      </c>
      <c r="AB64" s="40">
        <f t="shared" si="27"/>
        <v>0</v>
      </c>
      <c r="AC64" s="40">
        <f t="shared" si="28"/>
        <v>0</v>
      </c>
      <c r="AD64" s="40">
        <f t="shared" si="29"/>
        <v>0</v>
      </c>
      <c r="AE64" s="40">
        <f t="shared" si="30"/>
        <v>0</v>
      </c>
      <c r="AF64" s="40">
        <f t="shared" si="31"/>
        <v>0</v>
      </c>
      <c r="AG64" s="40">
        <f t="shared" si="32"/>
        <v>0</v>
      </c>
      <c r="AH64" s="40">
        <f t="shared" si="33"/>
        <v>0</v>
      </c>
      <c r="AI64" s="37"/>
      <c r="AJ64" s="26">
        <f t="shared" si="34"/>
        <v>0</v>
      </c>
      <c r="AK64" s="26">
        <f t="shared" si="35"/>
        <v>0</v>
      </c>
      <c r="AL64" s="26">
        <f t="shared" si="36"/>
        <v>0</v>
      </c>
      <c r="AN64" s="40">
        <v>21</v>
      </c>
      <c r="AO64" s="40">
        <f>I64*0.526237745098039</f>
        <v>0</v>
      </c>
      <c r="AP64" s="40">
        <f>I64*(1-0.526237745098039)</f>
        <v>0</v>
      </c>
      <c r="AQ64" s="41" t="s">
        <v>13</v>
      </c>
      <c r="AV64" s="40">
        <f t="shared" si="37"/>
        <v>0</v>
      </c>
      <c r="AW64" s="40">
        <f t="shared" si="38"/>
        <v>0</v>
      </c>
      <c r="AX64" s="40">
        <f t="shared" si="39"/>
        <v>0</v>
      </c>
      <c r="AY64" s="43" t="s">
        <v>537</v>
      </c>
      <c r="AZ64" s="43" t="s">
        <v>563</v>
      </c>
      <c r="BA64" s="37" t="s">
        <v>568</v>
      </c>
      <c r="BC64" s="40">
        <f t="shared" si="40"/>
        <v>0</v>
      </c>
      <c r="BD64" s="40">
        <f t="shared" si="41"/>
        <v>0</v>
      </c>
      <c r="BE64" s="40">
        <v>0</v>
      </c>
      <c r="BF64" s="40">
        <f t="shared" si="42"/>
        <v>2432</v>
      </c>
      <c r="BH64" s="26">
        <f t="shared" si="43"/>
        <v>0</v>
      </c>
      <c r="BI64" s="26">
        <f t="shared" si="44"/>
        <v>0</v>
      </c>
      <c r="BJ64" s="26">
        <f t="shared" si="45"/>
        <v>0</v>
      </c>
      <c r="BK64" s="26" t="s">
        <v>573</v>
      </c>
      <c r="BL64" s="40">
        <v>733</v>
      </c>
    </row>
    <row r="65" spans="1:64" x14ac:dyDescent="0.25">
      <c r="A65" s="4" t="s">
        <v>46</v>
      </c>
      <c r="B65" s="14" t="s">
        <v>194</v>
      </c>
      <c r="C65" s="135" t="s">
        <v>363</v>
      </c>
      <c r="D65" s="136"/>
      <c r="E65" s="136"/>
      <c r="F65" s="136"/>
      <c r="G65" s="14" t="s">
        <v>502</v>
      </c>
      <c r="H65" s="26">
        <v>4</v>
      </c>
      <c r="I65" s="26">
        <v>0</v>
      </c>
      <c r="J65" s="26">
        <f t="shared" si="23"/>
        <v>0</v>
      </c>
      <c r="K65" s="26">
        <f t="shared" si="24"/>
        <v>0</v>
      </c>
      <c r="L65" s="26">
        <f t="shared" si="25"/>
        <v>0</v>
      </c>
      <c r="M65" s="26">
        <v>7.8499999999999993E-3</v>
      </c>
      <c r="N65" s="49">
        <f>H65*65</f>
        <v>260</v>
      </c>
      <c r="O65" s="6"/>
      <c r="Z65" s="40">
        <f t="shared" si="26"/>
        <v>0</v>
      </c>
      <c r="AB65" s="40">
        <f t="shared" si="27"/>
        <v>0</v>
      </c>
      <c r="AC65" s="40">
        <f t="shared" si="28"/>
        <v>0</v>
      </c>
      <c r="AD65" s="40">
        <f t="shared" si="29"/>
        <v>0</v>
      </c>
      <c r="AE65" s="40">
        <f t="shared" si="30"/>
        <v>0</v>
      </c>
      <c r="AF65" s="40">
        <f t="shared" si="31"/>
        <v>0</v>
      </c>
      <c r="AG65" s="40">
        <f t="shared" si="32"/>
        <v>0</v>
      </c>
      <c r="AH65" s="40">
        <f t="shared" si="33"/>
        <v>0</v>
      </c>
      <c r="AI65" s="37"/>
      <c r="AJ65" s="26">
        <f t="shared" si="34"/>
        <v>0</v>
      </c>
      <c r="AK65" s="26">
        <f t="shared" si="35"/>
        <v>0</v>
      </c>
      <c r="AL65" s="26">
        <f t="shared" si="36"/>
        <v>0</v>
      </c>
      <c r="AN65" s="40">
        <v>21</v>
      </c>
      <c r="AO65" s="40">
        <f>I65*0.499549795361528</f>
        <v>0</v>
      </c>
      <c r="AP65" s="40">
        <f>I65*(1-0.499549795361528)</f>
        <v>0</v>
      </c>
      <c r="AQ65" s="41" t="s">
        <v>13</v>
      </c>
      <c r="AV65" s="40">
        <f t="shared" si="37"/>
        <v>0</v>
      </c>
      <c r="AW65" s="40">
        <f t="shared" si="38"/>
        <v>0</v>
      </c>
      <c r="AX65" s="40">
        <f t="shared" si="39"/>
        <v>0</v>
      </c>
      <c r="AY65" s="43" t="s">
        <v>537</v>
      </c>
      <c r="AZ65" s="43" t="s">
        <v>563</v>
      </c>
      <c r="BA65" s="37" t="s">
        <v>568</v>
      </c>
      <c r="BC65" s="40">
        <f t="shared" si="40"/>
        <v>0</v>
      </c>
      <c r="BD65" s="40">
        <f t="shared" si="41"/>
        <v>0</v>
      </c>
      <c r="BE65" s="40">
        <v>0</v>
      </c>
      <c r="BF65" s="40">
        <f t="shared" si="42"/>
        <v>260</v>
      </c>
      <c r="BH65" s="26">
        <f t="shared" si="43"/>
        <v>0</v>
      </c>
      <c r="BI65" s="26">
        <f t="shared" si="44"/>
        <v>0</v>
      </c>
      <c r="BJ65" s="26">
        <f t="shared" si="45"/>
        <v>0</v>
      </c>
      <c r="BK65" s="26" t="s">
        <v>573</v>
      </c>
      <c r="BL65" s="40">
        <v>733</v>
      </c>
    </row>
    <row r="66" spans="1:64" x14ac:dyDescent="0.25">
      <c r="A66" s="4" t="s">
        <v>47</v>
      </c>
      <c r="B66" s="14" t="s">
        <v>195</v>
      </c>
      <c r="C66" s="135" t="s">
        <v>364</v>
      </c>
      <c r="D66" s="136"/>
      <c r="E66" s="136"/>
      <c r="F66" s="136"/>
      <c r="G66" s="14" t="s">
        <v>502</v>
      </c>
      <c r="H66" s="26">
        <v>2</v>
      </c>
      <c r="I66" s="26">
        <v>0</v>
      </c>
      <c r="J66" s="26">
        <f t="shared" si="23"/>
        <v>0</v>
      </c>
      <c r="K66" s="26">
        <f t="shared" si="24"/>
        <v>0</v>
      </c>
      <c r="L66" s="26">
        <f t="shared" si="25"/>
        <v>0</v>
      </c>
      <c r="M66" s="26">
        <v>5.7600000000000004E-3</v>
      </c>
      <c r="N66" s="49">
        <f>H66*66</f>
        <v>132</v>
      </c>
      <c r="O66" s="6"/>
      <c r="Z66" s="40">
        <f t="shared" si="26"/>
        <v>0</v>
      </c>
      <c r="AB66" s="40">
        <f t="shared" si="27"/>
        <v>0</v>
      </c>
      <c r="AC66" s="40">
        <f t="shared" si="28"/>
        <v>0</v>
      </c>
      <c r="AD66" s="40">
        <f t="shared" si="29"/>
        <v>0</v>
      </c>
      <c r="AE66" s="40">
        <f t="shared" si="30"/>
        <v>0</v>
      </c>
      <c r="AF66" s="40">
        <f t="shared" si="31"/>
        <v>0</v>
      </c>
      <c r="AG66" s="40">
        <f t="shared" si="32"/>
        <v>0</v>
      </c>
      <c r="AH66" s="40">
        <f t="shared" si="33"/>
        <v>0</v>
      </c>
      <c r="AI66" s="37"/>
      <c r="AJ66" s="26">
        <f t="shared" si="34"/>
        <v>0</v>
      </c>
      <c r="AK66" s="26">
        <f t="shared" si="35"/>
        <v>0</v>
      </c>
      <c r="AL66" s="26">
        <f t="shared" si="36"/>
        <v>0</v>
      </c>
      <c r="AN66" s="40">
        <v>21</v>
      </c>
      <c r="AO66" s="40">
        <f>I66*0.417235576923077</f>
        <v>0</v>
      </c>
      <c r="AP66" s="40">
        <f>I66*(1-0.417235576923077)</f>
        <v>0</v>
      </c>
      <c r="AQ66" s="41" t="s">
        <v>13</v>
      </c>
      <c r="AV66" s="40">
        <f t="shared" si="37"/>
        <v>0</v>
      </c>
      <c r="AW66" s="40">
        <f t="shared" si="38"/>
        <v>0</v>
      </c>
      <c r="AX66" s="40">
        <f t="shared" si="39"/>
        <v>0</v>
      </c>
      <c r="AY66" s="43" t="s">
        <v>537</v>
      </c>
      <c r="AZ66" s="43" t="s">
        <v>563</v>
      </c>
      <c r="BA66" s="37" t="s">
        <v>568</v>
      </c>
      <c r="BC66" s="40">
        <f t="shared" si="40"/>
        <v>0</v>
      </c>
      <c r="BD66" s="40">
        <f t="shared" si="41"/>
        <v>0</v>
      </c>
      <c r="BE66" s="40">
        <v>0</v>
      </c>
      <c r="BF66" s="40">
        <f t="shared" si="42"/>
        <v>132</v>
      </c>
      <c r="BH66" s="26">
        <f t="shared" si="43"/>
        <v>0</v>
      </c>
      <c r="BI66" s="26">
        <f t="shared" si="44"/>
        <v>0</v>
      </c>
      <c r="BJ66" s="26">
        <f t="shared" si="45"/>
        <v>0</v>
      </c>
      <c r="BK66" s="26" t="s">
        <v>573</v>
      </c>
      <c r="BL66" s="40">
        <v>733</v>
      </c>
    </row>
    <row r="67" spans="1:64" x14ac:dyDescent="0.25">
      <c r="A67" s="5"/>
      <c r="B67" s="15" t="s">
        <v>196</v>
      </c>
      <c r="C67" s="137" t="s">
        <v>365</v>
      </c>
      <c r="D67" s="138"/>
      <c r="E67" s="138"/>
      <c r="F67" s="138"/>
      <c r="G67" s="24" t="s">
        <v>6</v>
      </c>
      <c r="H67" s="24" t="s">
        <v>6</v>
      </c>
      <c r="I67" s="24" t="s">
        <v>6</v>
      </c>
      <c r="J67" s="46">
        <f>SUM(J68:J107)</f>
        <v>0</v>
      </c>
      <c r="K67" s="46">
        <f>SUM(K68:K107)</f>
        <v>0</v>
      </c>
      <c r="L67" s="46">
        <f>SUM(L68:L107)</f>
        <v>0</v>
      </c>
      <c r="M67" s="37"/>
      <c r="N67" s="50">
        <f>SUM(N68:N107)</f>
        <v>16674</v>
      </c>
      <c r="O67" s="6"/>
      <c r="AI67" s="37"/>
      <c r="AS67" s="46">
        <f>SUM(AJ68:AJ107)</f>
        <v>0</v>
      </c>
      <c r="AT67" s="46">
        <f>SUM(AK68:AK107)</f>
        <v>0</v>
      </c>
      <c r="AU67" s="46">
        <f>SUM(AL68:AL107)</f>
        <v>0</v>
      </c>
    </row>
    <row r="68" spans="1:64" x14ac:dyDescent="0.25">
      <c r="A68" s="4" t="s">
        <v>48</v>
      </c>
      <c r="B68" s="14" t="s">
        <v>197</v>
      </c>
      <c r="C68" s="135" t="s">
        <v>366</v>
      </c>
      <c r="D68" s="136"/>
      <c r="E68" s="136"/>
      <c r="F68" s="136"/>
      <c r="G68" s="14" t="s">
        <v>500</v>
      </c>
      <c r="H68" s="26">
        <v>2</v>
      </c>
      <c r="I68" s="26">
        <v>0</v>
      </c>
      <c r="J68" s="26">
        <f t="shared" ref="J68:J107" si="46">H68*AO68</f>
        <v>0</v>
      </c>
      <c r="K68" s="26">
        <f t="shared" ref="K68:K107" si="47">H68*AP68</f>
        <v>0</v>
      </c>
      <c r="L68" s="26">
        <f t="shared" ref="L68:L107" si="48">H68*I68</f>
        <v>0</v>
      </c>
      <c r="M68" s="26">
        <v>4.0000000000000003E-5</v>
      </c>
      <c r="N68" s="49">
        <f>H68*68</f>
        <v>136</v>
      </c>
      <c r="O68" s="6"/>
      <c r="Z68" s="40">
        <f t="shared" ref="Z68:Z107" si="49">IF(AQ68="5",BJ68,0)</f>
        <v>0</v>
      </c>
      <c r="AB68" s="40">
        <f t="shared" ref="AB68:AB107" si="50">IF(AQ68="1",BH68,0)</f>
        <v>0</v>
      </c>
      <c r="AC68" s="40">
        <f t="shared" ref="AC68:AC107" si="51">IF(AQ68="1",BI68,0)</f>
        <v>0</v>
      </c>
      <c r="AD68" s="40">
        <f t="shared" ref="AD68:AD107" si="52">IF(AQ68="7",BH68,0)</f>
        <v>0</v>
      </c>
      <c r="AE68" s="40">
        <f t="shared" ref="AE68:AE107" si="53">IF(AQ68="7",BI68,0)</f>
        <v>0</v>
      </c>
      <c r="AF68" s="40">
        <f t="shared" ref="AF68:AF107" si="54">IF(AQ68="2",BH68,0)</f>
        <v>0</v>
      </c>
      <c r="AG68" s="40">
        <f t="shared" ref="AG68:AG107" si="55">IF(AQ68="2",BI68,0)</f>
        <v>0</v>
      </c>
      <c r="AH68" s="40">
        <f t="shared" ref="AH68:AH107" si="56">IF(AQ68="0",BJ68,0)</f>
        <v>0</v>
      </c>
      <c r="AI68" s="37"/>
      <c r="AJ68" s="26">
        <f t="shared" ref="AJ68:AJ107" si="57">IF(AN68=0,L68,0)</f>
        <v>0</v>
      </c>
      <c r="AK68" s="26">
        <f t="shared" ref="AK68:AK107" si="58">IF(AN68=15,L68,0)</f>
        <v>0</v>
      </c>
      <c r="AL68" s="26">
        <f t="shared" ref="AL68:AL107" si="59">IF(AN68=21,L68,0)</f>
        <v>0</v>
      </c>
      <c r="AN68" s="40">
        <v>21</v>
      </c>
      <c r="AO68" s="40">
        <f>I68*0.291044776119403</f>
        <v>0</v>
      </c>
      <c r="AP68" s="40">
        <f>I68*(1-0.291044776119403)</f>
        <v>0</v>
      </c>
      <c r="AQ68" s="41" t="s">
        <v>13</v>
      </c>
      <c r="AV68" s="40">
        <f t="shared" ref="AV68:AV107" si="60">AW68+AX68</f>
        <v>0</v>
      </c>
      <c r="AW68" s="40">
        <f t="shared" ref="AW68:AW107" si="61">H68*AO68</f>
        <v>0</v>
      </c>
      <c r="AX68" s="40">
        <f t="shared" ref="AX68:AX107" si="62">H68*AP68</f>
        <v>0</v>
      </c>
      <c r="AY68" s="43" t="s">
        <v>538</v>
      </c>
      <c r="AZ68" s="43" t="s">
        <v>563</v>
      </c>
      <c r="BA68" s="37" t="s">
        <v>568</v>
      </c>
      <c r="BC68" s="40">
        <f t="shared" ref="BC68:BC107" si="63">AW68+AX68</f>
        <v>0</v>
      </c>
      <c r="BD68" s="40">
        <f t="shared" ref="BD68:BD107" si="64">I68/(100-BE68)*100</f>
        <v>0</v>
      </c>
      <c r="BE68" s="40">
        <v>0</v>
      </c>
      <c r="BF68" s="40">
        <f t="shared" ref="BF68:BF107" si="65">N68</f>
        <v>136</v>
      </c>
      <c r="BH68" s="26">
        <f t="shared" ref="BH68:BH107" si="66">H68*AO68</f>
        <v>0</v>
      </c>
      <c r="BI68" s="26">
        <f t="shared" ref="BI68:BI107" si="67">H68*AP68</f>
        <v>0</v>
      </c>
      <c r="BJ68" s="26">
        <f t="shared" ref="BJ68:BJ107" si="68">H68*I68</f>
        <v>0</v>
      </c>
      <c r="BK68" s="26" t="s">
        <v>573</v>
      </c>
      <c r="BL68" s="40">
        <v>734</v>
      </c>
    </row>
    <row r="69" spans="1:64" x14ac:dyDescent="0.25">
      <c r="A69" s="4" t="s">
        <v>49</v>
      </c>
      <c r="B69" s="14" t="s">
        <v>198</v>
      </c>
      <c r="C69" s="135" t="s">
        <v>367</v>
      </c>
      <c r="D69" s="136"/>
      <c r="E69" s="136"/>
      <c r="F69" s="136"/>
      <c r="G69" s="14" t="s">
        <v>500</v>
      </c>
      <c r="H69" s="26">
        <v>2</v>
      </c>
      <c r="I69" s="26">
        <v>0</v>
      </c>
      <c r="J69" s="26">
        <f t="shared" si="46"/>
        <v>0</v>
      </c>
      <c r="K69" s="26">
        <f t="shared" si="47"/>
        <v>0</v>
      </c>
      <c r="L69" s="26">
        <f t="shared" si="48"/>
        <v>0</v>
      </c>
      <c r="M69" s="26">
        <v>9.0000000000000006E-5</v>
      </c>
      <c r="N69" s="49">
        <f>H69*69</f>
        <v>138</v>
      </c>
      <c r="O69" s="6"/>
      <c r="Z69" s="40">
        <f t="shared" si="49"/>
        <v>0</v>
      </c>
      <c r="AB69" s="40">
        <f t="shared" si="50"/>
        <v>0</v>
      </c>
      <c r="AC69" s="40">
        <f t="shared" si="51"/>
        <v>0</v>
      </c>
      <c r="AD69" s="40">
        <f t="shared" si="52"/>
        <v>0</v>
      </c>
      <c r="AE69" s="40">
        <f t="shared" si="53"/>
        <v>0</v>
      </c>
      <c r="AF69" s="40">
        <f t="shared" si="54"/>
        <v>0</v>
      </c>
      <c r="AG69" s="40">
        <f t="shared" si="55"/>
        <v>0</v>
      </c>
      <c r="AH69" s="40">
        <f t="shared" si="56"/>
        <v>0</v>
      </c>
      <c r="AI69" s="37"/>
      <c r="AJ69" s="26">
        <f t="shared" si="57"/>
        <v>0</v>
      </c>
      <c r="AK69" s="26">
        <f t="shared" si="58"/>
        <v>0</v>
      </c>
      <c r="AL69" s="26">
        <f t="shared" si="59"/>
        <v>0</v>
      </c>
      <c r="AN69" s="40">
        <v>21</v>
      </c>
      <c r="AO69" s="40">
        <f>I69*0.217948717948718</f>
        <v>0</v>
      </c>
      <c r="AP69" s="40">
        <f>I69*(1-0.217948717948718)</f>
        <v>0</v>
      </c>
      <c r="AQ69" s="41" t="s">
        <v>13</v>
      </c>
      <c r="AV69" s="40">
        <f t="shared" si="60"/>
        <v>0</v>
      </c>
      <c r="AW69" s="40">
        <f t="shared" si="61"/>
        <v>0</v>
      </c>
      <c r="AX69" s="40">
        <f t="shared" si="62"/>
        <v>0</v>
      </c>
      <c r="AY69" s="43" t="s">
        <v>538</v>
      </c>
      <c r="AZ69" s="43" t="s">
        <v>563</v>
      </c>
      <c r="BA69" s="37" t="s">
        <v>568</v>
      </c>
      <c r="BC69" s="40">
        <f t="shared" si="63"/>
        <v>0</v>
      </c>
      <c r="BD69" s="40">
        <f t="shared" si="64"/>
        <v>0</v>
      </c>
      <c r="BE69" s="40">
        <v>0</v>
      </c>
      <c r="BF69" s="40">
        <f t="shared" si="65"/>
        <v>138</v>
      </c>
      <c r="BH69" s="26">
        <f t="shared" si="66"/>
        <v>0</v>
      </c>
      <c r="BI69" s="26">
        <f t="shared" si="67"/>
        <v>0</v>
      </c>
      <c r="BJ69" s="26">
        <f t="shared" si="68"/>
        <v>0</v>
      </c>
      <c r="BK69" s="26" t="s">
        <v>573</v>
      </c>
      <c r="BL69" s="40">
        <v>734</v>
      </c>
    </row>
    <row r="70" spans="1:64" x14ac:dyDescent="0.25">
      <c r="A70" s="4" t="s">
        <v>50</v>
      </c>
      <c r="B70" s="14" t="s">
        <v>199</v>
      </c>
      <c r="C70" s="135" t="s">
        <v>368</v>
      </c>
      <c r="D70" s="136"/>
      <c r="E70" s="136"/>
      <c r="F70" s="136"/>
      <c r="G70" s="14" t="s">
        <v>500</v>
      </c>
      <c r="H70" s="26">
        <v>2</v>
      </c>
      <c r="I70" s="26">
        <v>0</v>
      </c>
      <c r="J70" s="26">
        <f t="shared" si="46"/>
        <v>0</v>
      </c>
      <c r="K70" s="26">
        <f t="shared" si="47"/>
        <v>0</v>
      </c>
      <c r="L70" s="26">
        <f t="shared" si="48"/>
        <v>0</v>
      </c>
      <c r="M70" s="26">
        <v>1.2999999999999999E-4</v>
      </c>
      <c r="N70" s="49">
        <f>H70*70</f>
        <v>140</v>
      </c>
      <c r="O70" s="6"/>
      <c r="Z70" s="40">
        <f t="shared" si="49"/>
        <v>0</v>
      </c>
      <c r="AB70" s="40">
        <f t="shared" si="50"/>
        <v>0</v>
      </c>
      <c r="AC70" s="40">
        <f t="shared" si="51"/>
        <v>0</v>
      </c>
      <c r="AD70" s="40">
        <f t="shared" si="52"/>
        <v>0</v>
      </c>
      <c r="AE70" s="40">
        <f t="shared" si="53"/>
        <v>0</v>
      </c>
      <c r="AF70" s="40">
        <f t="shared" si="54"/>
        <v>0</v>
      </c>
      <c r="AG70" s="40">
        <f t="shared" si="55"/>
        <v>0</v>
      </c>
      <c r="AH70" s="40">
        <f t="shared" si="56"/>
        <v>0</v>
      </c>
      <c r="AI70" s="37"/>
      <c r="AJ70" s="26">
        <f t="shared" si="57"/>
        <v>0</v>
      </c>
      <c r="AK70" s="26">
        <f t="shared" si="58"/>
        <v>0</v>
      </c>
      <c r="AL70" s="26">
        <f t="shared" si="59"/>
        <v>0</v>
      </c>
      <c r="AN70" s="40">
        <v>21</v>
      </c>
      <c r="AO70" s="40">
        <f>I70*0.221037037037037</f>
        <v>0</v>
      </c>
      <c r="AP70" s="40">
        <f>I70*(1-0.221037037037037)</f>
        <v>0</v>
      </c>
      <c r="AQ70" s="41" t="s">
        <v>13</v>
      </c>
      <c r="AV70" s="40">
        <f t="shared" si="60"/>
        <v>0</v>
      </c>
      <c r="AW70" s="40">
        <f t="shared" si="61"/>
        <v>0</v>
      </c>
      <c r="AX70" s="40">
        <f t="shared" si="62"/>
        <v>0</v>
      </c>
      <c r="AY70" s="43" t="s">
        <v>538</v>
      </c>
      <c r="AZ70" s="43" t="s">
        <v>563</v>
      </c>
      <c r="BA70" s="37" t="s">
        <v>568</v>
      </c>
      <c r="BC70" s="40">
        <f t="shared" si="63"/>
        <v>0</v>
      </c>
      <c r="BD70" s="40">
        <f t="shared" si="64"/>
        <v>0</v>
      </c>
      <c r="BE70" s="40">
        <v>0</v>
      </c>
      <c r="BF70" s="40">
        <f t="shared" si="65"/>
        <v>140</v>
      </c>
      <c r="BH70" s="26">
        <f t="shared" si="66"/>
        <v>0</v>
      </c>
      <c r="BI70" s="26">
        <f t="shared" si="67"/>
        <v>0</v>
      </c>
      <c r="BJ70" s="26">
        <f t="shared" si="68"/>
        <v>0</v>
      </c>
      <c r="BK70" s="26" t="s">
        <v>573</v>
      </c>
      <c r="BL70" s="40">
        <v>734</v>
      </c>
    </row>
    <row r="71" spans="1:64" x14ac:dyDescent="0.25">
      <c r="A71" s="4" t="s">
        <v>51</v>
      </c>
      <c r="B71" s="14" t="s">
        <v>200</v>
      </c>
      <c r="C71" s="135" t="s">
        <v>369</v>
      </c>
      <c r="D71" s="136"/>
      <c r="E71" s="136"/>
      <c r="F71" s="136"/>
      <c r="G71" s="14" t="s">
        <v>500</v>
      </c>
      <c r="H71" s="26">
        <v>4</v>
      </c>
      <c r="I71" s="26">
        <v>0</v>
      </c>
      <c r="J71" s="26">
        <f t="shared" si="46"/>
        <v>0</v>
      </c>
      <c r="K71" s="26">
        <f t="shared" si="47"/>
        <v>0</v>
      </c>
      <c r="L71" s="26">
        <f t="shared" si="48"/>
        <v>0</v>
      </c>
      <c r="M71" s="26">
        <v>2.1000000000000001E-4</v>
      </c>
      <c r="N71" s="49">
        <f>H71*71</f>
        <v>284</v>
      </c>
      <c r="O71" s="6"/>
      <c r="Z71" s="40">
        <f t="shared" si="49"/>
        <v>0</v>
      </c>
      <c r="AB71" s="40">
        <f t="shared" si="50"/>
        <v>0</v>
      </c>
      <c r="AC71" s="40">
        <f t="shared" si="51"/>
        <v>0</v>
      </c>
      <c r="AD71" s="40">
        <f t="shared" si="52"/>
        <v>0</v>
      </c>
      <c r="AE71" s="40">
        <f t="shared" si="53"/>
        <v>0</v>
      </c>
      <c r="AF71" s="40">
        <f t="shared" si="54"/>
        <v>0</v>
      </c>
      <c r="AG71" s="40">
        <f t="shared" si="55"/>
        <v>0</v>
      </c>
      <c r="AH71" s="40">
        <f t="shared" si="56"/>
        <v>0</v>
      </c>
      <c r="AI71" s="37"/>
      <c r="AJ71" s="26">
        <f t="shared" si="57"/>
        <v>0</v>
      </c>
      <c r="AK71" s="26">
        <f t="shared" si="58"/>
        <v>0</v>
      </c>
      <c r="AL71" s="26">
        <f t="shared" si="59"/>
        <v>0</v>
      </c>
      <c r="AN71" s="40">
        <v>21</v>
      </c>
      <c r="AO71" s="40">
        <f>I71*0.219637188208617</f>
        <v>0</v>
      </c>
      <c r="AP71" s="40">
        <f>I71*(1-0.219637188208617)</f>
        <v>0</v>
      </c>
      <c r="AQ71" s="41" t="s">
        <v>13</v>
      </c>
      <c r="AV71" s="40">
        <f t="shared" si="60"/>
        <v>0</v>
      </c>
      <c r="AW71" s="40">
        <f t="shared" si="61"/>
        <v>0</v>
      </c>
      <c r="AX71" s="40">
        <f t="shared" si="62"/>
        <v>0</v>
      </c>
      <c r="AY71" s="43" t="s">
        <v>538</v>
      </c>
      <c r="AZ71" s="43" t="s">
        <v>563</v>
      </c>
      <c r="BA71" s="37" t="s">
        <v>568</v>
      </c>
      <c r="BC71" s="40">
        <f t="shared" si="63"/>
        <v>0</v>
      </c>
      <c r="BD71" s="40">
        <f t="shared" si="64"/>
        <v>0</v>
      </c>
      <c r="BE71" s="40">
        <v>0</v>
      </c>
      <c r="BF71" s="40">
        <f t="shared" si="65"/>
        <v>284</v>
      </c>
      <c r="BH71" s="26">
        <f t="shared" si="66"/>
        <v>0</v>
      </c>
      <c r="BI71" s="26">
        <f t="shared" si="67"/>
        <v>0</v>
      </c>
      <c r="BJ71" s="26">
        <f t="shared" si="68"/>
        <v>0</v>
      </c>
      <c r="BK71" s="26" t="s">
        <v>573</v>
      </c>
      <c r="BL71" s="40">
        <v>734</v>
      </c>
    </row>
    <row r="72" spans="1:64" x14ac:dyDescent="0.25">
      <c r="A72" s="4" t="s">
        <v>52</v>
      </c>
      <c r="B72" s="14" t="s">
        <v>201</v>
      </c>
      <c r="C72" s="135" t="s">
        <v>370</v>
      </c>
      <c r="D72" s="136"/>
      <c r="E72" s="136"/>
      <c r="F72" s="136"/>
      <c r="G72" s="14" t="s">
        <v>500</v>
      </c>
      <c r="H72" s="26">
        <v>1</v>
      </c>
      <c r="I72" s="26">
        <v>0</v>
      </c>
      <c r="J72" s="26">
        <f t="shared" si="46"/>
        <v>0</v>
      </c>
      <c r="K72" s="26">
        <f t="shared" si="47"/>
        <v>0</v>
      </c>
      <c r="L72" s="26">
        <f t="shared" si="48"/>
        <v>0</v>
      </c>
      <c r="M72" s="26">
        <v>2.5200000000000001E-3</v>
      </c>
      <c r="N72" s="49">
        <f>H72*72</f>
        <v>72</v>
      </c>
      <c r="O72" s="6"/>
      <c r="Z72" s="40">
        <f t="shared" si="49"/>
        <v>0</v>
      </c>
      <c r="AB72" s="40">
        <f t="shared" si="50"/>
        <v>0</v>
      </c>
      <c r="AC72" s="40">
        <f t="shared" si="51"/>
        <v>0</v>
      </c>
      <c r="AD72" s="40">
        <f t="shared" si="52"/>
        <v>0</v>
      </c>
      <c r="AE72" s="40">
        <f t="shared" si="53"/>
        <v>0</v>
      </c>
      <c r="AF72" s="40">
        <f t="shared" si="54"/>
        <v>0</v>
      </c>
      <c r="AG72" s="40">
        <f t="shared" si="55"/>
        <v>0</v>
      </c>
      <c r="AH72" s="40">
        <f t="shared" si="56"/>
        <v>0</v>
      </c>
      <c r="AI72" s="37"/>
      <c r="AJ72" s="26">
        <f t="shared" si="57"/>
        <v>0</v>
      </c>
      <c r="AK72" s="26">
        <f t="shared" si="58"/>
        <v>0</v>
      </c>
      <c r="AL72" s="26">
        <f t="shared" si="59"/>
        <v>0</v>
      </c>
      <c r="AN72" s="40">
        <v>21</v>
      </c>
      <c r="AO72" s="40">
        <f>I72*0.866114790286976</f>
        <v>0</v>
      </c>
      <c r="AP72" s="40">
        <f>I72*(1-0.866114790286976)</f>
        <v>0</v>
      </c>
      <c r="AQ72" s="41" t="s">
        <v>13</v>
      </c>
      <c r="AV72" s="40">
        <f t="shared" si="60"/>
        <v>0</v>
      </c>
      <c r="AW72" s="40">
        <f t="shared" si="61"/>
        <v>0</v>
      </c>
      <c r="AX72" s="40">
        <f t="shared" si="62"/>
        <v>0</v>
      </c>
      <c r="AY72" s="43" t="s">
        <v>538</v>
      </c>
      <c r="AZ72" s="43" t="s">
        <v>563</v>
      </c>
      <c r="BA72" s="37" t="s">
        <v>568</v>
      </c>
      <c r="BC72" s="40">
        <f t="shared" si="63"/>
        <v>0</v>
      </c>
      <c r="BD72" s="40">
        <f t="shared" si="64"/>
        <v>0</v>
      </c>
      <c r="BE72" s="40">
        <v>0</v>
      </c>
      <c r="BF72" s="40">
        <f t="shared" si="65"/>
        <v>72</v>
      </c>
      <c r="BH72" s="26">
        <f t="shared" si="66"/>
        <v>0</v>
      </c>
      <c r="BI72" s="26">
        <f t="shared" si="67"/>
        <v>0</v>
      </c>
      <c r="BJ72" s="26">
        <f t="shared" si="68"/>
        <v>0</v>
      </c>
      <c r="BK72" s="26" t="s">
        <v>573</v>
      </c>
      <c r="BL72" s="40">
        <v>734</v>
      </c>
    </row>
    <row r="73" spans="1:64" x14ac:dyDescent="0.25">
      <c r="A73" s="4" t="s">
        <v>53</v>
      </c>
      <c r="B73" s="14" t="s">
        <v>201</v>
      </c>
      <c r="C73" s="135" t="s">
        <v>371</v>
      </c>
      <c r="D73" s="136"/>
      <c r="E73" s="136"/>
      <c r="F73" s="136"/>
      <c r="G73" s="14" t="s">
        <v>500</v>
      </c>
      <c r="H73" s="26">
        <v>2</v>
      </c>
      <c r="I73" s="26">
        <v>0</v>
      </c>
      <c r="J73" s="26">
        <f t="shared" si="46"/>
        <v>0</v>
      </c>
      <c r="K73" s="26">
        <f t="shared" si="47"/>
        <v>0</v>
      </c>
      <c r="L73" s="26">
        <f t="shared" si="48"/>
        <v>0</v>
      </c>
      <c r="M73" s="26">
        <v>2.5200000000000001E-3</v>
      </c>
      <c r="N73" s="49">
        <f>H73*73</f>
        <v>146</v>
      </c>
      <c r="O73" s="6"/>
      <c r="Z73" s="40">
        <f t="shared" si="49"/>
        <v>0</v>
      </c>
      <c r="AB73" s="40">
        <f t="shared" si="50"/>
        <v>0</v>
      </c>
      <c r="AC73" s="40">
        <f t="shared" si="51"/>
        <v>0</v>
      </c>
      <c r="AD73" s="40">
        <f t="shared" si="52"/>
        <v>0</v>
      </c>
      <c r="AE73" s="40">
        <f t="shared" si="53"/>
        <v>0</v>
      </c>
      <c r="AF73" s="40">
        <f t="shared" si="54"/>
        <v>0</v>
      </c>
      <c r="AG73" s="40">
        <f t="shared" si="55"/>
        <v>0</v>
      </c>
      <c r="AH73" s="40">
        <f t="shared" si="56"/>
        <v>0</v>
      </c>
      <c r="AI73" s="37"/>
      <c r="AJ73" s="26">
        <f t="shared" si="57"/>
        <v>0</v>
      </c>
      <c r="AK73" s="26">
        <f t="shared" si="58"/>
        <v>0</v>
      </c>
      <c r="AL73" s="26">
        <f t="shared" si="59"/>
        <v>0</v>
      </c>
      <c r="AN73" s="40">
        <v>21</v>
      </c>
      <c r="AO73" s="40">
        <f>I73*0.529080310880829</f>
        <v>0</v>
      </c>
      <c r="AP73" s="40">
        <f>I73*(1-0.529080310880829)</f>
        <v>0</v>
      </c>
      <c r="AQ73" s="41" t="s">
        <v>13</v>
      </c>
      <c r="AV73" s="40">
        <f t="shared" si="60"/>
        <v>0</v>
      </c>
      <c r="AW73" s="40">
        <f t="shared" si="61"/>
        <v>0</v>
      </c>
      <c r="AX73" s="40">
        <f t="shared" si="62"/>
        <v>0</v>
      </c>
      <c r="AY73" s="43" t="s">
        <v>538</v>
      </c>
      <c r="AZ73" s="43" t="s">
        <v>563</v>
      </c>
      <c r="BA73" s="37" t="s">
        <v>568</v>
      </c>
      <c r="BC73" s="40">
        <f t="shared" si="63"/>
        <v>0</v>
      </c>
      <c r="BD73" s="40">
        <f t="shared" si="64"/>
        <v>0</v>
      </c>
      <c r="BE73" s="40">
        <v>0</v>
      </c>
      <c r="BF73" s="40">
        <f t="shared" si="65"/>
        <v>146</v>
      </c>
      <c r="BH73" s="26">
        <f t="shared" si="66"/>
        <v>0</v>
      </c>
      <c r="BI73" s="26">
        <f t="shared" si="67"/>
        <v>0</v>
      </c>
      <c r="BJ73" s="26">
        <f t="shared" si="68"/>
        <v>0</v>
      </c>
      <c r="BK73" s="26" t="s">
        <v>573</v>
      </c>
      <c r="BL73" s="40">
        <v>734</v>
      </c>
    </row>
    <row r="74" spans="1:64" x14ac:dyDescent="0.25">
      <c r="A74" s="4" t="s">
        <v>54</v>
      </c>
      <c r="B74" s="14" t="s">
        <v>202</v>
      </c>
      <c r="C74" s="135" t="s">
        <v>372</v>
      </c>
      <c r="D74" s="136"/>
      <c r="E74" s="136"/>
      <c r="F74" s="136"/>
      <c r="G74" s="14" t="s">
        <v>500</v>
      </c>
      <c r="H74" s="26">
        <v>12</v>
      </c>
      <c r="I74" s="26">
        <v>0</v>
      </c>
      <c r="J74" s="26">
        <f t="shared" si="46"/>
        <v>0</v>
      </c>
      <c r="K74" s="26">
        <f t="shared" si="47"/>
        <v>0</v>
      </c>
      <c r="L74" s="26">
        <f t="shared" si="48"/>
        <v>0</v>
      </c>
      <c r="M74" s="26">
        <v>1.3999999999999999E-4</v>
      </c>
      <c r="N74" s="49">
        <f>H74*74</f>
        <v>888</v>
      </c>
      <c r="O74" s="6"/>
      <c r="Z74" s="40">
        <f t="shared" si="49"/>
        <v>0</v>
      </c>
      <c r="AB74" s="40">
        <f t="shared" si="50"/>
        <v>0</v>
      </c>
      <c r="AC74" s="40">
        <f t="shared" si="51"/>
        <v>0</v>
      </c>
      <c r="AD74" s="40">
        <f t="shared" si="52"/>
        <v>0</v>
      </c>
      <c r="AE74" s="40">
        <f t="shared" si="53"/>
        <v>0</v>
      </c>
      <c r="AF74" s="40">
        <f t="shared" si="54"/>
        <v>0</v>
      </c>
      <c r="AG74" s="40">
        <f t="shared" si="55"/>
        <v>0</v>
      </c>
      <c r="AH74" s="40">
        <f t="shared" si="56"/>
        <v>0</v>
      </c>
      <c r="AI74" s="37"/>
      <c r="AJ74" s="26">
        <f t="shared" si="57"/>
        <v>0</v>
      </c>
      <c r="AK74" s="26">
        <f t="shared" si="58"/>
        <v>0</v>
      </c>
      <c r="AL74" s="26">
        <f t="shared" si="59"/>
        <v>0</v>
      </c>
      <c r="AN74" s="40">
        <v>21</v>
      </c>
      <c r="AO74" s="40">
        <f>I74*0.706315144083384</f>
        <v>0</v>
      </c>
      <c r="AP74" s="40">
        <f>I74*(1-0.706315144083384)</f>
        <v>0</v>
      </c>
      <c r="AQ74" s="41" t="s">
        <v>13</v>
      </c>
      <c r="AV74" s="40">
        <f t="shared" si="60"/>
        <v>0</v>
      </c>
      <c r="AW74" s="40">
        <f t="shared" si="61"/>
        <v>0</v>
      </c>
      <c r="AX74" s="40">
        <f t="shared" si="62"/>
        <v>0</v>
      </c>
      <c r="AY74" s="43" t="s">
        <v>538</v>
      </c>
      <c r="AZ74" s="43" t="s">
        <v>563</v>
      </c>
      <c r="BA74" s="37" t="s">
        <v>568</v>
      </c>
      <c r="BC74" s="40">
        <f t="shared" si="63"/>
        <v>0</v>
      </c>
      <c r="BD74" s="40">
        <f t="shared" si="64"/>
        <v>0</v>
      </c>
      <c r="BE74" s="40">
        <v>0</v>
      </c>
      <c r="BF74" s="40">
        <f t="shared" si="65"/>
        <v>888</v>
      </c>
      <c r="BH74" s="26">
        <f t="shared" si="66"/>
        <v>0</v>
      </c>
      <c r="BI74" s="26">
        <f t="shared" si="67"/>
        <v>0</v>
      </c>
      <c r="BJ74" s="26">
        <f t="shared" si="68"/>
        <v>0</v>
      </c>
      <c r="BK74" s="26" t="s">
        <v>573</v>
      </c>
      <c r="BL74" s="40">
        <v>734</v>
      </c>
    </row>
    <row r="75" spans="1:64" x14ac:dyDescent="0.25">
      <c r="A75" s="4" t="s">
        <v>55</v>
      </c>
      <c r="B75" s="14" t="s">
        <v>203</v>
      </c>
      <c r="C75" s="135" t="s">
        <v>373</v>
      </c>
      <c r="D75" s="136"/>
      <c r="E75" s="136"/>
      <c r="F75" s="136"/>
      <c r="G75" s="14" t="s">
        <v>500</v>
      </c>
      <c r="H75" s="26">
        <v>13</v>
      </c>
      <c r="I75" s="26">
        <v>0</v>
      </c>
      <c r="J75" s="26">
        <f t="shared" si="46"/>
        <v>0</v>
      </c>
      <c r="K75" s="26">
        <f t="shared" si="47"/>
        <v>0</v>
      </c>
      <c r="L75" s="26">
        <f t="shared" si="48"/>
        <v>0</v>
      </c>
      <c r="M75" s="26">
        <v>8.0000000000000004E-4</v>
      </c>
      <c r="N75" s="49">
        <f>H75*75</f>
        <v>975</v>
      </c>
      <c r="O75" s="6"/>
      <c r="Z75" s="40">
        <f t="shared" si="49"/>
        <v>0</v>
      </c>
      <c r="AB75" s="40">
        <f t="shared" si="50"/>
        <v>0</v>
      </c>
      <c r="AC75" s="40">
        <f t="shared" si="51"/>
        <v>0</v>
      </c>
      <c r="AD75" s="40">
        <f t="shared" si="52"/>
        <v>0</v>
      </c>
      <c r="AE75" s="40">
        <f t="shared" si="53"/>
        <v>0</v>
      </c>
      <c r="AF75" s="40">
        <f t="shared" si="54"/>
        <v>0</v>
      </c>
      <c r="AG75" s="40">
        <f t="shared" si="55"/>
        <v>0</v>
      </c>
      <c r="AH75" s="40">
        <f t="shared" si="56"/>
        <v>0</v>
      </c>
      <c r="AI75" s="37"/>
      <c r="AJ75" s="26">
        <f t="shared" si="57"/>
        <v>0</v>
      </c>
      <c r="AK75" s="26">
        <f t="shared" si="58"/>
        <v>0</v>
      </c>
      <c r="AL75" s="26">
        <f t="shared" si="59"/>
        <v>0</v>
      </c>
      <c r="AN75" s="40">
        <v>21</v>
      </c>
      <c r="AO75" s="40">
        <f>I75*0.867119529719138</f>
        <v>0</v>
      </c>
      <c r="AP75" s="40">
        <f>I75*(1-0.867119529719138)</f>
        <v>0</v>
      </c>
      <c r="AQ75" s="41" t="s">
        <v>13</v>
      </c>
      <c r="AV75" s="40">
        <f t="shared" si="60"/>
        <v>0</v>
      </c>
      <c r="AW75" s="40">
        <f t="shared" si="61"/>
        <v>0</v>
      </c>
      <c r="AX75" s="40">
        <f t="shared" si="62"/>
        <v>0</v>
      </c>
      <c r="AY75" s="43" t="s">
        <v>538</v>
      </c>
      <c r="AZ75" s="43" t="s">
        <v>563</v>
      </c>
      <c r="BA75" s="37" t="s">
        <v>568</v>
      </c>
      <c r="BC75" s="40">
        <f t="shared" si="63"/>
        <v>0</v>
      </c>
      <c r="BD75" s="40">
        <f t="shared" si="64"/>
        <v>0</v>
      </c>
      <c r="BE75" s="40">
        <v>0</v>
      </c>
      <c r="BF75" s="40">
        <f t="shared" si="65"/>
        <v>975</v>
      </c>
      <c r="BH75" s="26">
        <f t="shared" si="66"/>
        <v>0</v>
      </c>
      <c r="BI75" s="26">
        <f t="shared" si="67"/>
        <v>0</v>
      </c>
      <c r="BJ75" s="26">
        <f t="shared" si="68"/>
        <v>0</v>
      </c>
      <c r="BK75" s="26" t="s">
        <v>573</v>
      </c>
      <c r="BL75" s="40">
        <v>734</v>
      </c>
    </row>
    <row r="76" spans="1:64" x14ac:dyDescent="0.25">
      <c r="A76" s="4" t="s">
        <v>56</v>
      </c>
      <c r="B76" s="14" t="s">
        <v>204</v>
      </c>
      <c r="C76" s="135" t="s">
        <v>374</v>
      </c>
      <c r="D76" s="136"/>
      <c r="E76" s="136"/>
      <c r="F76" s="136"/>
      <c r="G76" s="14" t="s">
        <v>500</v>
      </c>
      <c r="H76" s="26">
        <v>1</v>
      </c>
      <c r="I76" s="26">
        <v>0</v>
      </c>
      <c r="J76" s="26">
        <f t="shared" si="46"/>
        <v>0</v>
      </c>
      <c r="K76" s="26">
        <f t="shared" si="47"/>
        <v>0</v>
      </c>
      <c r="L76" s="26">
        <f t="shared" si="48"/>
        <v>0</v>
      </c>
      <c r="M76" s="26">
        <v>2E-3</v>
      </c>
      <c r="N76" s="49">
        <f>H76*76</f>
        <v>76</v>
      </c>
      <c r="O76" s="6"/>
      <c r="Z76" s="40">
        <f t="shared" si="49"/>
        <v>0</v>
      </c>
      <c r="AB76" s="40">
        <f t="shared" si="50"/>
        <v>0</v>
      </c>
      <c r="AC76" s="40">
        <f t="shared" si="51"/>
        <v>0</v>
      </c>
      <c r="AD76" s="40">
        <f t="shared" si="52"/>
        <v>0</v>
      </c>
      <c r="AE76" s="40">
        <f t="shared" si="53"/>
        <v>0</v>
      </c>
      <c r="AF76" s="40">
        <f t="shared" si="54"/>
        <v>0</v>
      </c>
      <c r="AG76" s="40">
        <f t="shared" si="55"/>
        <v>0</v>
      </c>
      <c r="AH76" s="40">
        <f t="shared" si="56"/>
        <v>0</v>
      </c>
      <c r="AI76" s="37"/>
      <c r="AJ76" s="26">
        <f t="shared" si="57"/>
        <v>0</v>
      </c>
      <c r="AK76" s="26">
        <f t="shared" si="58"/>
        <v>0</v>
      </c>
      <c r="AL76" s="26">
        <f t="shared" si="59"/>
        <v>0</v>
      </c>
      <c r="AN76" s="40">
        <v>21</v>
      </c>
      <c r="AO76" s="40">
        <f>I76*0.962465564738292</f>
        <v>0</v>
      </c>
      <c r="AP76" s="40">
        <f>I76*(1-0.962465564738292)</f>
        <v>0</v>
      </c>
      <c r="AQ76" s="41" t="s">
        <v>13</v>
      </c>
      <c r="AV76" s="40">
        <f t="shared" si="60"/>
        <v>0</v>
      </c>
      <c r="AW76" s="40">
        <f t="shared" si="61"/>
        <v>0</v>
      </c>
      <c r="AX76" s="40">
        <f t="shared" si="62"/>
        <v>0</v>
      </c>
      <c r="AY76" s="43" t="s">
        <v>538</v>
      </c>
      <c r="AZ76" s="43" t="s">
        <v>563</v>
      </c>
      <c r="BA76" s="37" t="s">
        <v>568</v>
      </c>
      <c r="BC76" s="40">
        <f t="shared" si="63"/>
        <v>0</v>
      </c>
      <c r="BD76" s="40">
        <f t="shared" si="64"/>
        <v>0</v>
      </c>
      <c r="BE76" s="40">
        <v>0</v>
      </c>
      <c r="BF76" s="40">
        <f t="shared" si="65"/>
        <v>76</v>
      </c>
      <c r="BH76" s="26">
        <f t="shared" si="66"/>
        <v>0</v>
      </c>
      <c r="BI76" s="26">
        <f t="shared" si="67"/>
        <v>0</v>
      </c>
      <c r="BJ76" s="26">
        <f t="shared" si="68"/>
        <v>0</v>
      </c>
      <c r="BK76" s="26" t="s">
        <v>573</v>
      </c>
      <c r="BL76" s="40">
        <v>734</v>
      </c>
    </row>
    <row r="77" spans="1:64" x14ac:dyDescent="0.25">
      <c r="A77" s="4" t="s">
        <v>57</v>
      </c>
      <c r="B77" s="14" t="s">
        <v>205</v>
      </c>
      <c r="C77" s="135" t="s">
        <v>375</v>
      </c>
      <c r="D77" s="136"/>
      <c r="E77" s="136"/>
      <c r="F77" s="136"/>
      <c r="G77" s="14" t="s">
        <v>500</v>
      </c>
      <c r="H77" s="26">
        <v>2</v>
      </c>
      <c r="I77" s="26">
        <v>0</v>
      </c>
      <c r="J77" s="26">
        <f t="shared" si="46"/>
        <v>0</v>
      </c>
      <c r="K77" s="26">
        <f t="shared" si="47"/>
        <v>0</v>
      </c>
      <c r="L77" s="26">
        <f t="shared" si="48"/>
        <v>0</v>
      </c>
      <c r="M77" s="26">
        <v>0</v>
      </c>
      <c r="N77" s="49">
        <f>H77*77</f>
        <v>154</v>
      </c>
      <c r="O77" s="6"/>
      <c r="Z77" s="40">
        <f t="shared" si="49"/>
        <v>0</v>
      </c>
      <c r="AB77" s="40">
        <f t="shared" si="50"/>
        <v>0</v>
      </c>
      <c r="AC77" s="40">
        <f t="shared" si="51"/>
        <v>0</v>
      </c>
      <c r="AD77" s="40">
        <f t="shared" si="52"/>
        <v>0</v>
      </c>
      <c r="AE77" s="40">
        <f t="shared" si="53"/>
        <v>0</v>
      </c>
      <c r="AF77" s="40">
        <f t="shared" si="54"/>
        <v>0</v>
      </c>
      <c r="AG77" s="40">
        <f t="shared" si="55"/>
        <v>0</v>
      </c>
      <c r="AH77" s="40">
        <f t="shared" si="56"/>
        <v>0</v>
      </c>
      <c r="AI77" s="37"/>
      <c r="AJ77" s="26">
        <f t="shared" si="57"/>
        <v>0</v>
      </c>
      <c r="AK77" s="26">
        <f t="shared" si="58"/>
        <v>0</v>
      </c>
      <c r="AL77" s="26">
        <f t="shared" si="59"/>
        <v>0</v>
      </c>
      <c r="AN77" s="40">
        <v>21</v>
      </c>
      <c r="AO77" s="40">
        <f>I77*0.942053541172484</f>
        <v>0</v>
      </c>
      <c r="AP77" s="40">
        <f>I77*(1-0.942053541172484)</f>
        <v>0</v>
      </c>
      <c r="AQ77" s="41" t="s">
        <v>13</v>
      </c>
      <c r="AV77" s="40">
        <f t="shared" si="60"/>
        <v>0</v>
      </c>
      <c r="AW77" s="40">
        <f t="shared" si="61"/>
        <v>0</v>
      </c>
      <c r="AX77" s="40">
        <f t="shared" si="62"/>
        <v>0</v>
      </c>
      <c r="AY77" s="43" t="s">
        <v>538</v>
      </c>
      <c r="AZ77" s="43" t="s">
        <v>563</v>
      </c>
      <c r="BA77" s="37" t="s">
        <v>568</v>
      </c>
      <c r="BC77" s="40">
        <f t="shared" si="63"/>
        <v>0</v>
      </c>
      <c r="BD77" s="40">
        <f t="shared" si="64"/>
        <v>0</v>
      </c>
      <c r="BE77" s="40">
        <v>0</v>
      </c>
      <c r="BF77" s="40">
        <f t="shared" si="65"/>
        <v>154</v>
      </c>
      <c r="BH77" s="26">
        <f t="shared" si="66"/>
        <v>0</v>
      </c>
      <c r="BI77" s="26">
        <f t="shared" si="67"/>
        <v>0</v>
      </c>
      <c r="BJ77" s="26">
        <f t="shared" si="68"/>
        <v>0</v>
      </c>
      <c r="BK77" s="26" t="s">
        <v>573</v>
      </c>
      <c r="BL77" s="40">
        <v>734</v>
      </c>
    </row>
    <row r="78" spans="1:64" x14ac:dyDescent="0.25">
      <c r="A78" s="4" t="s">
        <v>58</v>
      </c>
      <c r="B78" s="14" t="s">
        <v>205</v>
      </c>
      <c r="C78" s="135" t="s">
        <v>376</v>
      </c>
      <c r="D78" s="136"/>
      <c r="E78" s="136"/>
      <c r="F78" s="136"/>
      <c r="G78" s="14" t="s">
        <v>500</v>
      </c>
      <c r="H78" s="26">
        <v>2</v>
      </c>
      <c r="I78" s="26">
        <v>0</v>
      </c>
      <c r="J78" s="26">
        <f t="shared" si="46"/>
        <v>0</v>
      </c>
      <c r="K78" s="26">
        <f t="shared" si="47"/>
        <v>0</v>
      </c>
      <c r="L78" s="26">
        <f t="shared" si="48"/>
        <v>0</v>
      </c>
      <c r="M78" s="26">
        <v>0</v>
      </c>
      <c r="N78" s="49">
        <f>H78*78</f>
        <v>156</v>
      </c>
      <c r="O78" s="6"/>
      <c r="Z78" s="40">
        <f t="shared" si="49"/>
        <v>0</v>
      </c>
      <c r="AB78" s="40">
        <f t="shared" si="50"/>
        <v>0</v>
      </c>
      <c r="AC78" s="40">
        <f t="shared" si="51"/>
        <v>0</v>
      </c>
      <c r="AD78" s="40">
        <f t="shared" si="52"/>
        <v>0</v>
      </c>
      <c r="AE78" s="40">
        <f t="shared" si="53"/>
        <v>0</v>
      </c>
      <c r="AF78" s="40">
        <f t="shared" si="54"/>
        <v>0</v>
      </c>
      <c r="AG78" s="40">
        <f t="shared" si="55"/>
        <v>0</v>
      </c>
      <c r="AH78" s="40">
        <f t="shared" si="56"/>
        <v>0</v>
      </c>
      <c r="AI78" s="37"/>
      <c r="AJ78" s="26">
        <f t="shared" si="57"/>
        <v>0</v>
      </c>
      <c r="AK78" s="26">
        <f t="shared" si="58"/>
        <v>0</v>
      </c>
      <c r="AL78" s="26">
        <f t="shared" si="59"/>
        <v>0</v>
      </c>
      <c r="AN78" s="40">
        <v>21</v>
      </c>
      <c r="AO78" s="40">
        <f>I78*0.942053541172484</f>
        <v>0</v>
      </c>
      <c r="AP78" s="40">
        <f>I78*(1-0.942053541172484)</f>
        <v>0</v>
      </c>
      <c r="AQ78" s="41" t="s">
        <v>13</v>
      </c>
      <c r="AV78" s="40">
        <f t="shared" si="60"/>
        <v>0</v>
      </c>
      <c r="AW78" s="40">
        <f t="shared" si="61"/>
        <v>0</v>
      </c>
      <c r="AX78" s="40">
        <f t="shared" si="62"/>
        <v>0</v>
      </c>
      <c r="AY78" s="43" t="s">
        <v>538</v>
      </c>
      <c r="AZ78" s="43" t="s">
        <v>563</v>
      </c>
      <c r="BA78" s="37" t="s">
        <v>568</v>
      </c>
      <c r="BC78" s="40">
        <f t="shared" si="63"/>
        <v>0</v>
      </c>
      <c r="BD78" s="40">
        <f t="shared" si="64"/>
        <v>0</v>
      </c>
      <c r="BE78" s="40">
        <v>0</v>
      </c>
      <c r="BF78" s="40">
        <f t="shared" si="65"/>
        <v>156</v>
      </c>
      <c r="BH78" s="26">
        <f t="shared" si="66"/>
        <v>0</v>
      </c>
      <c r="BI78" s="26">
        <f t="shared" si="67"/>
        <v>0</v>
      </c>
      <c r="BJ78" s="26">
        <f t="shared" si="68"/>
        <v>0</v>
      </c>
      <c r="BK78" s="26" t="s">
        <v>573</v>
      </c>
      <c r="BL78" s="40">
        <v>734</v>
      </c>
    </row>
    <row r="79" spans="1:64" x14ac:dyDescent="0.25">
      <c r="A79" s="4" t="s">
        <v>59</v>
      </c>
      <c r="B79" s="14" t="s">
        <v>206</v>
      </c>
      <c r="C79" s="135" t="s">
        <v>377</v>
      </c>
      <c r="D79" s="136"/>
      <c r="E79" s="136"/>
      <c r="F79" s="136"/>
      <c r="G79" s="14" t="s">
        <v>500</v>
      </c>
      <c r="H79" s="26">
        <v>2</v>
      </c>
      <c r="I79" s="26">
        <v>0</v>
      </c>
      <c r="J79" s="26">
        <f t="shared" si="46"/>
        <v>0</v>
      </c>
      <c r="K79" s="26">
        <f t="shared" si="47"/>
        <v>0</v>
      </c>
      <c r="L79" s="26">
        <f t="shared" si="48"/>
        <v>0</v>
      </c>
      <c r="M79" s="26">
        <v>1.89E-3</v>
      </c>
      <c r="N79" s="49">
        <f>H79*79</f>
        <v>158</v>
      </c>
      <c r="O79" s="6"/>
      <c r="Z79" s="40">
        <f t="shared" si="49"/>
        <v>0</v>
      </c>
      <c r="AB79" s="40">
        <f t="shared" si="50"/>
        <v>0</v>
      </c>
      <c r="AC79" s="40">
        <f t="shared" si="51"/>
        <v>0</v>
      </c>
      <c r="AD79" s="40">
        <f t="shared" si="52"/>
        <v>0</v>
      </c>
      <c r="AE79" s="40">
        <f t="shared" si="53"/>
        <v>0</v>
      </c>
      <c r="AF79" s="40">
        <f t="shared" si="54"/>
        <v>0</v>
      </c>
      <c r="AG79" s="40">
        <f t="shared" si="55"/>
        <v>0</v>
      </c>
      <c r="AH79" s="40">
        <f t="shared" si="56"/>
        <v>0</v>
      </c>
      <c r="AI79" s="37"/>
      <c r="AJ79" s="26">
        <f t="shared" si="57"/>
        <v>0</v>
      </c>
      <c r="AK79" s="26">
        <f t="shared" si="58"/>
        <v>0</v>
      </c>
      <c r="AL79" s="26">
        <f t="shared" si="59"/>
        <v>0</v>
      </c>
      <c r="AN79" s="40">
        <v>21</v>
      </c>
      <c r="AO79" s="40">
        <f>I79*0.95085</f>
        <v>0</v>
      </c>
      <c r="AP79" s="40">
        <f>I79*(1-0.95085)</f>
        <v>0</v>
      </c>
      <c r="AQ79" s="41" t="s">
        <v>13</v>
      </c>
      <c r="AV79" s="40">
        <f t="shared" si="60"/>
        <v>0</v>
      </c>
      <c r="AW79" s="40">
        <f t="shared" si="61"/>
        <v>0</v>
      </c>
      <c r="AX79" s="40">
        <f t="shared" si="62"/>
        <v>0</v>
      </c>
      <c r="AY79" s="43" t="s">
        <v>538</v>
      </c>
      <c r="AZ79" s="43" t="s">
        <v>563</v>
      </c>
      <c r="BA79" s="37" t="s">
        <v>568</v>
      </c>
      <c r="BC79" s="40">
        <f t="shared" si="63"/>
        <v>0</v>
      </c>
      <c r="BD79" s="40">
        <f t="shared" si="64"/>
        <v>0</v>
      </c>
      <c r="BE79" s="40">
        <v>0</v>
      </c>
      <c r="BF79" s="40">
        <f t="shared" si="65"/>
        <v>158</v>
      </c>
      <c r="BH79" s="26">
        <f t="shared" si="66"/>
        <v>0</v>
      </c>
      <c r="BI79" s="26">
        <f t="shared" si="67"/>
        <v>0</v>
      </c>
      <c r="BJ79" s="26">
        <f t="shared" si="68"/>
        <v>0</v>
      </c>
      <c r="BK79" s="26" t="s">
        <v>573</v>
      </c>
      <c r="BL79" s="40">
        <v>734</v>
      </c>
    </row>
    <row r="80" spans="1:64" x14ac:dyDescent="0.25">
      <c r="A80" s="4" t="s">
        <v>60</v>
      </c>
      <c r="B80" s="14" t="s">
        <v>207</v>
      </c>
      <c r="C80" s="135" t="s">
        <v>378</v>
      </c>
      <c r="D80" s="136"/>
      <c r="E80" s="136"/>
      <c r="F80" s="136"/>
      <c r="G80" s="14" t="s">
        <v>500</v>
      </c>
      <c r="H80" s="26">
        <v>2</v>
      </c>
      <c r="I80" s="26">
        <v>0</v>
      </c>
      <c r="J80" s="26">
        <f t="shared" si="46"/>
        <v>0</v>
      </c>
      <c r="K80" s="26">
        <f t="shared" si="47"/>
        <v>0</v>
      </c>
      <c r="L80" s="26">
        <f t="shared" si="48"/>
        <v>0</v>
      </c>
      <c r="M80" s="26">
        <v>1.2999999999999999E-3</v>
      </c>
      <c r="N80" s="49">
        <f>H80*80</f>
        <v>160</v>
      </c>
      <c r="O80" s="6"/>
      <c r="Z80" s="40">
        <f t="shared" si="49"/>
        <v>0</v>
      </c>
      <c r="AB80" s="40">
        <f t="shared" si="50"/>
        <v>0</v>
      </c>
      <c r="AC80" s="40">
        <f t="shared" si="51"/>
        <v>0</v>
      </c>
      <c r="AD80" s="40">
        <f t="shared" si="52"/>
        <v>0</v>
      </c>
      <c r="AE80" s="40">
        <f t="shared" si="53"/>
        <v>0</v>
      </c>
      <c r="AF80" s="40">
        <f t="shared" si="54"/>
        <v>0</v>
      </c>
      <c r="AG80" s="40">
        <f t="shared" si="55"/>
        <v>0</v>
      </c>
      <c r="AH80" s="40">
        <f t="shared" si="56"/>
        <v>0</v>
      </c>
      <c r="AI80" s="37"/>
      <c r="AJ80" s="26">
        <f t="shared" si="57"/>
        <v>0</v>
      </c>
      <c r="AK80" s="26">
        <f t="shared" si="58"/>
        <v>0</v>
      </c>
      <c r="AL80" s="26">
        <f t="shared" si="59"/>
        <v>0</v>
      </c>
      <c r="AN80" s="40">
        <v>21</v>
      </c>
      <c r="AO80" s="40">
        <f>I80*0.79931455399061</f>
        <v>0</v>
      </c>
      <c r="AP80" s="40">
        <f>I80*(1-0.79931455399061)</f>
        <v>0</v>
      </c>
      <c r="AQ80" s="41" t="s">
        <v>13</v>
      </c>
      <c r="AV80" s="40">
        <f t="shared" si="60"/>
        <v>0</v>
      </c>
      <c r="AW80" s="40">
        <f t="shared" si="61"/>
        <v>0</v>
      </c>
      <c r="AX80" s="40">
        <f t="shared" si="62"/>
        <v>0</v>
      </c>
      <c r="AY80" s="43" t="s">
        <v>538</v>
      </c>
      <c r="AZ80" s="43" t="s">
        <v>563</v>
      </c>
      <c r="BA80" s="37" t="s">
        <v>568</v>
      </c>
      <c r="BC80" s="40">
        <f t="shared" si="63"/>
        <v>0</v>
      </c>
      <c r="BD80" s="40">
        <f t="shared" si="64"/>
        <v>0</v>
      </c>
      <c r="BE80" s="40">
        <v>0</v>
      </c>
      <c r="BF80" s="40">
        <f t="shared" si="65"/>
        <v>160</v>
      </c>
      <c r="BH80" s="26">
        <f t="shared" si="66"/>
        <v>0</v>
      </c>
      <c r="BI80" s="26">
        <f t="shared" si="67"/>
        <v>0</v>
      </c>
      <c r="BJ80" s="26">
        <f t="shared" si="68"/>
        <v>0</v>
      </c>
      <c r="BK80" s="26" t="s">
        <v>573</v>
      </c>
      <c r="BL80" s="40">
        <v>734</v>
      </c>
    </row>
    <row r="81" spans="1:64" x14ac:dyDescent="0.25">
      <c r="A81" s="4" t="s">
        <v>61</v>
      </c>
      <c r="B81" s="14" t="s">
        <v>208</v>
      </c>
      <c r="C81" s="135" t="s">
        <v>379</v>
      </c>
      <c r="D81" s="136"/>
      <c r="E81" s="136"/>
      <c r="F81" s="136"/>
      <c r="G81" s="14" t="s">
        <v>500</v>
      </c>
      <c r="H81" s="26">
        <v>1</v>
      </c>
      <c r="I81" s="26">
        <v>0</v>
      </c>
      <c r="J81" s="26">
        <f t="shared" si="46"/>
        <v>0</v>
      </c>
      <c r="K81" s="26">
        <f t="shared" si="47"/>
        <v>0</v>
      </c>
      <c r="L81" s="26">
        <f t="shared" si="48"/>
        <v>0</v>
      </c>
      <c r="M81" s="26">
        <v>1.42E-3</v>
      </c>
      <c r="N81" s="49">
        <f>H81*81</f>
        <v>81</v>
      </c>
      <c r="O81" s="6"/>
      <c r="Z81" s="40">
        <f t="shared" si="49"/>
        <v>0</v>
      </c>
      <c r="AB81" s="40">
        <f t="shared" si="50"/>
        <v>0</v>
      </c>
      <c r="AC81" s="40">
        <f t="shared" si="51"/>
        <v>0</v>
      </c>
      <c r="AD81" s="40">
        <f t="shared" si="52"/>
        <v>0</v>
      </c>
      <c r="AE81" s="40">
        <f t="shared" si="53"/>
        <v>0</v>
      </c>
      <c r="AF81" s="40">
        <f t="shared" si="54"/>
        <v>0</v>
      </c>
      <c r="AG81" s="40">
        <f t="shared" si="55"/>
        <v>0</v>
      </c>
      <c r="AH81" s="40">
        <f t="shared" si="56"/>
        <v>0</v>
      </c>
      <c r="AI81" s="37"/>
      <c r="AJ81" s="26">
        <f t="shared" si="57"/>
        <v>0</v>
      </c>
      <c r="AK81" s="26">
        <f t="shared" si="58"/>
        <v>0</v>
      </c>
      <c r="AL81" s="26">
        <f t="shared" si="59"/>
        <v>0</v>
      </c>
      <c r="AN81" s="40">
        <v>21</v>
      </c>
      <c r="AO81" s="40">
        <f>I81*0.815591026747196</f>
        <v>0</v>
      </c>
      <c r="AP81" s="40">
        <f>I81*(1-0.815591026747196)</f>
        <v>0</v>
      </c>
      <c r="AQ81" s="41" t="s">
        <v>13</v>
      </c>
      <c r="AV81" s="40">
        <f t="shared" si="60"/>
        <v>0</v>
      </c>
      <c r="AW81" s="40">
        <f t="shared" si="61"/>
        <v>0</v>
      </c>
      <c r="AX81" s="40">
        <f t="shared" si="62"/>
        <v>0</v>
      </c>
      <c r="AY81" s="43" t="s">
        <v>538</v>
      </c>
      <c r="AZ81" s="43" t="s">
        <v>563</v>
      </c>
      <c r="BA81" s="37" t="s">
        <v>568</v>
      </c>
      <c r="BC81" s="40">
        <f t="shared" si="63"/>
        <v>0</v>
      </c>
      <c r="BD81" s="40">
        <f t="shared" si="64"/>
        <v>0</v>
      </c>
      <c r="BE81" s="40">
        <v>0</v>
      </c>
      <c r="BF81" s="40">
        <f t="shared" si="65"/>
        <v>81</v>
      </c>
      <c r="BH81" s="26">
        <f t="shared" si="66"/>
        <v>0</v>
      </c>
      <c r="BI81" s="26">
        <f t="shared" si="67"/>
        <v>0</v>
      </c>
      <c r="BJ81" s="26">
        <f t="shared" si="68"/>
        <v>0</v>
      </c>
      <c r="BK81" s="26" t="s">
        <v>573</v>
      </c>
      <c r="BL81" s="40">
        <v>734</v>
      </c>
    </row>
    <row r="82" spans="1:64" x14ac:dyDescent="0.25">
      <c r="A82" s="4" t="s">
        <v>62</v>
      </c>
      <c r="B82" s="14" t="s">
        <v>209</v>
      </c>
      <c r="C82" s="135" t="s">
        <v>380</v>
      </c>
      <c r="D82" s="136"/>
      <c r="E82" s="136"/>
      <c r="F82" s="136"/>
      <c r="G82" s="14" t="s">
        <v>500</v>
      </c>
      <c r="H82" s="26">
        <v>11</v>
      </c>
      <c r="I82" s="26">
        <v>0</v>
      </c>
      <c r="J82" s="26">
        <f t="shared" si="46"/>
        <v>0</v>
      </c>
      <c r="K82" s="26">
        <f t="shared" si="47"/>
        <v>0</v>
      </c>
      <c r="L82" s="26">
        <f t="shared" si="48"/>
        <v>0</v>
      </c>
      <c r="M82" s="26">
        <v>8.0999999999999996E-4</v>
      </c>
      <c r="N82" s="49">
        <f>H82*82</f>
        <v>902</v>
      </c>
      <c r="O82" s="6"/>
      <c r="Z82" s="40">
        <f t="shared" si="49"/>
        <v>0</v>
      </c>
      <c r="AB82" s="40">
        <f t="shared" si="50"/>
        <v>0</v>
      </c>
      <c r="AC82" s="40">
        <f t="shared" si="51"/>
        <v>0</v>
      </c>
      <c r="AD82" s="40">
        <f t="shared" si="52"/>
        <v>0</v>
      </c>
      <c r="AE82" s="40">
        <f t="shared" si="53"/>
        <v>0</v>
      </c>
      <c r="AF82" s="40">
        <f t="shared" si="54"/>
        <v>0</v>
      </c>
      <c r="AG82" s="40">
        <f t="shared" si="55"/>
        <v>0</v>
      </c>
      <c r="AH82" s="40">
        <f t="shared" si="56"/>
        <v>0</v>
      </c>
      <c r="AI82" s="37"/>
      <c r="AJ82" s="26">
        <f t="shared" si="57"/>
        <v>0</v>
      </c>
      <c r="AK82" s="26">
        <f t="shared" si="58"/>
        <v>0</v>
      </c>
      <c r="AL82" s="26">
        <f t="shared" si="59"/>
        <v>0</v>
      </c>
      <c r="AN82" s="40">
        <v>21</v>
      </c>
      <c r="AO82" s="40">
        <f>I82*0.726944444444444</f>
        <v>0</v>
      </c>
      <c r="AP82" s="40">
        <f>I82*(1-0.726944444444444)</f>
        <v>0</v>
      </c>
      <c r="AQ82" s="41" t="s">
        <v>13</v>
      </c>
      <c r="AV82" s="40">
        <f t="shared" si="60"/>
        <v>0</v>
      </c>
      <c r="AW82" s="40">
        <f t="shared" si="61"/>
        <v>0</v>
      </c>
      <c r="AX82" s="40">
        <f t="shared" si="62"/>
        <v>0</v>
      </c>
      <c r="AY82" s="43" t="s">
        <v>538</v>
      </c>
      <c r="AZ82" s="43" t="s">
        <v>563</v>
      </c>
      <c r="BA82" s="37" t="s">
        <v>568</v>
      </c>
      <c r="BC82" s="40">
        <f t="shared" si="63"/>
        <v>0</v>
      </c>
      <c r="BD82" s="40">
        <f t="shared" si="64"/>
        <v>0</v>
      </c>
      <c r="BE82" s="40">
        <v>0</v>
      </c>
      <c r="BF82" s="40">
        <f t="shared" si="65"/>
        <v>902</v>
      </c>
      <c r="BH82" s="26">
        <f t="shared" si="66"/>
        <v>0</v>
      </c>
      <c r="BI82" s="26">
        <f t="shared" si="67"/>
        <v>0</v>
      </c>
      <c r="BJ82" s="26">
        <f t="shared" si="68"/>
        <v>0</v>
      </c>
      <c r="BK82" s="26" t="s">
        <v>573</v>
      </c>
      <c r="BL82" s="40">
        <v>734</v>
      </c>
    </row>
    <row r="83" spans="1:64" x14ac:dyDescent="0.25">
      <c r="A83" s="4" t="s">
        <v>63</v>
      </c>
      <c r="B83" s="14" t="s">
        <v>210</v>
      </c>
      <c r="C83" s="135" t="s">
        <v>381</v>
      </c>
      <c r="D83" s="136"/>
      <c r="E83" s="136"/>
      <c r="F83" s="136"/>
      <c r="G83" s="14" t="s">
        <v>500</v>
      </c>
      <c r="H83" s="26">
        <v>2</v>
      </c>
      <c r="I83" s="26">
        <v>0</v>
      </c>
      <c r="J83" s="26">
        <f t="shared" si="46"/>
        <v>0</v>
      </c>
      <c r="K83" s="26">
        <f t="shared" si="47"/>
        <v>0</v>
      </c>
      <c r="L83" s="26">
        <f t="shared" si="48"/>
        <v>0</v>
      </c>
      <c r="M83" s="26">
        <v>1.0399999999999999E-3</v>
      </c>
      <c r="N83" s="49">
        <f>H83*83</f>
        <v>166</v>
      </c>
      <c r="O83" s="6"/>
      <c r="Z83" s="40">
        <f t="shared" si="49"/>
        <v>0</v>
      </c>
      <c r="AB83" s="40">
        <f t="shared" si="50"/>
        <v>0</v>
      </c>
      <c r="AC83" s="40">
        <f t="shared" si="51"/>
        <v>0</v>
      </c>
      <c r="AD83" s="40">
        <f t="shared" si="52"/>
        <v>0</v>
      </c>
      <c r="AE83" s="40">
        <f t="shared" si="53"/>
        <v>0</v>
      </c>
      <c r="AF83" s="40">
        <f t="shared" si="54"/>
        <v>0</v>
      </c>
      <c r="AG83" s="40">
        <f t="shared" si="55"/>
        <v>0</v>
      </c>
      <c r="AH83" s="40">
        <f t="shared" si="56"/>
        <v>0</v>
      </c>
      <c r="AI83" s="37"/>
      <c r="AJ83" s="26">
        <f t="shared" si="57"/>
        <v>0</v>
      </c>
      <c r="AK83" s="26">
        <f t="shared" si="58"/>
        <v>0</v>
      </c>
      <c r="AL83" s="26">
        <f t="shared" si="59"/>
        <v>0</v>
      </c>
      <c r="AN83" s="40">
        <v>21</v>
      </c>
      <c r="AO83" s="40">
        <f>I83*0.794016298020955</f>
        <v>0</v>
      </c>
      <c r="AP83" s="40">
        <f>I83*(1-0.794016298020955)</f>
        <v>0</v>
      </c>
      <c r="AQ83" s="41" t="s">
        <v>13</v>
      </c>
      <c r="AV83" s="40">
        <f t="shared" si="60"/>
        <v>0</v>
      </c>
      <c r="AW83" s="40">
        <f t="shared" si="61"/>
        <v>0</v>
      </c>
      <c r="AX83" s="40">
        <f t="shared" si="62"/>
        <v>0</v>
      </c>
      <c r="AY83" s="43" t="s">
        <v>538</v>
      </c>
      <c r="AZ83" s="43" t="s">
        <v>563</v>
      </c>
      <c r="BA83" s="37" t="s">
        <v>568</v>
      </c>
      <c r="BC83" s="40">
        <f t="shared" si="63"/>
        <v>0</v>
      </c>
      <c r="BD83" s="40">
        <f t="shared" si="64"/>
        <v>0</v>
      </c>
      <c r="BE83" s="40">
        <v>0</v>
      </c>
      <c r="BF83" s="40">
        <f t="shared" si="65"/>
        <v>166</v>
      </c>
      <c r="BH83" s="26">
        <f t="shared" si="66"/>
        <v>0</v>
      </c>
      <c r="BI83" s="26">
        <f t="shared" si="67"/>
        <v>0</v>
      </c>
      <c r="BJ83" s="26">
        <f t="shared" si="68"/>
        <v>0</v>
      </c>
      <c r="BK83" s="26" t="s">
        <v>573</v>
      </c>
      <c r="BL83" s="40">
        <v>734</v>
      </c>
    </row>
    <row r="84" spans="1:64" x14ac:dyDescent="0.25">
      <c r="A84" s="4" t="s">
        <v>64</v>
      </c>
      <c r="B84" s="14" t="s">
        <v>211</v>
      </c>
      <c r="C84" s="135" t="s">
        <v>382</v>
      </c>
      <c r="D84" s="136"/>
      <c r="E84" s="136"/>
      <c r="F84" s="136"/>
      <c r="G84" s="14" t="s">
        <v>500</v>
      </c>
      <c r="H84" s="26">
        <v>2</v>
      </c>
      <c r="I84" s="26">
        <v>0</v>
      </c>
      <c r="J84" s="26">
        <f t="shared" si="46"/>
        <v>0</v>
      </c>
      <c r="K84" s="26">
        <f t="shared" si="47"/>
        <v>0</v>
      </c>
      <c r="L84" s="26">
        <f t="shared" si="48"/>
        <v>0</v>
      </c>
      <c r="M84" s="26">
        <v>5.0000000000000001E-4</v>
      </c>
      <c r="N84" s="49">
        <f>H84*84</f>
        <v>168</v>
      </c>
      <c r="O84" s="6"/>
      <c r="Z84" s="40">
        <f t="shared" si="49"/>
        <v>0</v>
      </c>
      <c r="AB84" s="40">
        <f t="shared" si="50"/>
        <v>0</v>
      </c>
      <c r="AC84" s="40">
        <f t="shared" si="51"/>
        <v>0</v>
      </c>
      <c r="AD84" s="40">
        <f t="shared" si="52"/>
        <v>0</v>
      </c>
      <c r="AE84" s="40">
        <f t="shared" si="53"/>
        <v>0</v>
      </c>
      <c r="AF84" s="40">
        <f t="shared" si="54"/>
        <v>0</v>
      </c>
      <c r="AG84" s="40">
        <f t="shared" si="55"/>
        <v>0</v>
      </c>
      <c r="AH84" s="40">
        <f t="shared" si="56"/>
        <v>0</v>
      </c>
      <c r="AI84" s="37"/>
      <c r="AJ84" s="26">
        <f t="shared" si="57"/>
        <v>0</v>
      </c>
      <c r="AK84" s="26">
        <f t="shared" si="58"/>
        <v>0</v>
      </c>
      <c r="AL84" s="26">
        <f t="shared" si="59"/>
        <v>0</v>
      </c>
      <c r="AN84" s="40">
        <v>21</v>
      </c>
      <c r="AO84" s="40">
        <f>I84*0.687917146144994</f>
        <v>0</v>
      </c>
      <c r="AP84" s="40">
        <f>I84*(1-0.687917146144994)</f>
        <v>0</v>
      </c>
      <c r="AQ84" s="41" t="s">
        <v>13</v>
      </c>
      <c r="AV84" s="40">
        <f t="shared" si="60"/>
        <v>0</v>
      </c>
      <c r="AW84" s="40">
        <f t="shared" si="61"/>
        <v>0</v>
      </c>
      <c r="AX84" s="40">
        <f t="shared" si="62"/>
        <v>0</v>
      </c>
      <c r="AY84" s="43" t="s">
        <v>538</v>
      </c>
      <c r="AZ84" s="43" t="s">
        <v>563</v>
      </c>
      <c r="BA84" s="37" t="s">
        <v>568</v>
      </c>
      <c r="BC84" s="40">
        <f t="shared" si="63"/>
        <v>0</v>
      </c>
      <c r="BD84" s="40">
        <f t="shared" si="64"/>
        <v>0</v>
      </c>
      <c r="BE84" s="40">
        <v>0</v>
      </c>
      <c r="BF84" s="40">
        <f t="shared" si="65"/>
        <v>168</v>
      </c>
      <c r="BH84" s="26">
        <f t="shared" si="66"/>
        <v>0</v>
      </c>
      <c r="BI84" s="26">
        <f t="shared" si="67"/>
        <v>0</v>
      </c>
      <c r="BJ84" s="26">
        <f t="shared" si="68"/>
        <v>0</v>
      </c>
      <c r="BK84" s="26" t="s">
        <v>573</v>
      </c>
      <c r="BL84" s="40">
        <v>734</v>
      </c>
    </row>
    <row r="85" spans="1:64" x14ac:dyDescent="0.25">
      <c r="A85" s="4" t="s">
        <v>65</v>
      </c>
      <c r="B85" s="14" t="s">
        <v>212</v>
      </c>
      <c r="C85" s="135" t="s">
        <v>383</v>
      </c>
      <c r="D85" s="136"/>
      <c r="E85" s="136"/>
      <c r="F85" s="136"/>
      <c r="G85" s="14" t="s">
        <v>500</v>
      </c>
      <c r="H85" s="26">
        <v>2</v>
      </c>
      <c r="I85" s="26">
        <v>0</v>
      </c>
      <c r="J85" s="26">
        <f t="shared" si="46"/>
        <v>0</v>
      </c>
      <c r="K85" s="26">
        <f t="shared" si="47"/>
        <v>0</v>
      </c>
      <c r="L85" s="26">
        <f t="shared" si="48"/>
        <v>0</v>
      </c>
      <c r="M85" s="26">
        <v>7.2999999999999996E-4</v>
      </c>
      <c r="N85" s="49">
        <f>H85*85</f>
        <v>170</v>
      </c>
      <c r="O85" s="6"/>
      <c r="Z85" s="40">
        <f t="shared" si="49"/>
        <v>0</v>
      </c>
      <c r="AB85" s="40">
        <f t="shared" si="50"/>
        <v>0</v>
      </c>
      <c r="AC85" s="40">
        <f t="shared" si="51"/>
        <v>0</v>
      </c>
      <c r="AD85" s="40">
        <f t="shared" si="52"/>
        <v>0</v>
      </c>
      <c r="AE85" s="40">
        <f t="shared" si="53"/>
        <v>0</v>
      </c>
      <c r="AF85" s="40">
        <f t="shared" si="54"/>
        <v>0</v>
      </c>
      <c r="AG85" s="40">
        <f t="shared" si="55"/>
        <v>0</v>
      </c>
      <c r="AH85" s="40">
        <f t="shared" si="56"/>
        <v>0</v>
      </c>
      <c r="AI85" s="37"/>
      <c r="AJ85" s="26">
        <f t="shared" si="57"/>
        <v>0</v>
      </c>
      <c r="AK85" s="26">
        <f t="shared" si="58"/>
        <v>0</v>
      </c>
      <c r="AL85" s="26">
        <f t="shared" si="59"/>
        <v>0</v>
      </c>
      <c r="AN85" s="40">
        <v>21</v>
      </c>
      <c r="AO85" s="40">
        <f>I85*0.776973684210526</f>
        <v>0</v>
      </c>
      <c r="AP85" s="40">
        <f>I85*(1-0.776973684210526)</f>
        <v>0</v>
      </c>
      <c r="AQ85" s="41" t="s">
        <v>13</v>
      </c>
      <c r="AV85" s="40">
        <f t="shared" si="60"/>
        <v>0</v>
      </c>
      <c r="AW85" s="40">
        <f t="shared" si="61"/>
        <v>0</v>
      </c>
      <c r="AX85" s="40">
        <f t="shared" si="62"/>
        <v>0</v>
      </c>
      <c r="AY85" s="43" t="s">
        <v>538</v>
      </c>
      <c r="AZ85" s="43" t="s">
        <v>563</v>
      </c>
      <c r="BA85" s="37" t="s">
        <v>568</v>
      </c>
      <c r="BC85" s="40">
        <f t="shared" si="63"/>
        <v>0</v>
      </c>
      <c r="BD85" s="40">
        <f t="shared" si="64"/>
        <v>0</v>
      </c>
      <c r="BE85" s="40">
        <v>0</v>
      </c>
      <c r="BF85" s="40">
        <f t="shared" si="65"/>
        <v>170</v>
      </c>
      <c r="BH85" s="26">
        <f t="shared" si="66"/>
        <v>0</v>
      </c>
      <c r="BI85" s="26">
        <f t="shared" si="67"/>
        <v>0</v>
      </c>
      <c r="BJ85" s="26">
        <f t="shared" si="68"/>
        <v>0</v>
      </c>
      <c r="BK85" s="26" t="s">
        <v>573</v>
      </c>
      <c r="BL85" s="40">
        <v>734</v>
      </c>
    </row>
    <row r="86" spans="1:64" x14ac:dyDescent="0.25">
      <c r="A86" s="4" t="s">
        <v>66</v>
      </c>
      <c r="B86" s="14" t="s">
        <v>213</v>
      </c>
      <c r="C86" s="135" t="s">
        <v>384</v>
      </c>
      <c r="D86" s="136"/>
      <c r="E86" s="136"/>
      <c r="F86" s="136"/>
      <c r="G86" s="14" t="s">
        <v>500</v>
      </c>
      <c r="H86" s="26">
        <v>3</v>
      </c>
      <c r="I86" s="26">
        <v>0</v>
      </c>
      <c r="J86" s="26">
        <f t="shared" si="46"/>
        <v>0</v>
      </c>
      <c r="K86" s="26">
        <f t="shared" si="47"/>
        <v>0</v>
      </c>
      <c r="L86" s="26">
        <f t="shared" si="48"/>
        <v>0</v>
      </c>
      <c r="M86" s="26">
        <v>2.2000000000000001E-4</v>
      </c>
      <c r="N86" s="49">
        <f>H86*86</f>
        <v>258</v>
      </c>
      <c r="O86" s="6"/>
      <c r="Z86" s="40">
        <f t="shared" si="49"/>
        <v>0</v>
      </c>
      <c r="AB86" s="40">
        <f t="shared" si="50"/>
        <v>0</v>
      </c>
      <c r="AC86" s="40">
        <f t="shared" si="51"/>
        <v>0</v>
      </c>
      <c r="AD86" s="40">
        <f t="shared" si="52"/>
        <v>0</v>
      </c>
      <c r="AE86" s="40">
        <f t="shared" si="53"/>
        <v>0</v>
      </c>
      <c r="AF86" s="40">
        <f t="shared" si="54"/>
        <v>0</v>
      </c>
      <c r="AG86" s="40">
        <f t="shared" si="55"/>
        <v>0</v>
      </c>
      <c r="AH86" s="40">
        <f t="shared" si="56"/>
        <v>0</v>
      </c>
      <c r="AI86" s="37"/>
      <c r="AJ86" s="26">
        <f t="shared" si="57"/>
        <v>0</v>
      </c>
      <c r="AK86" s="26">
        <f t="shared" si="58"/>
        <v>0</v>
      </c>
      <c r="AL86" s="26">
        <f t="shared" si="59"/>
        <v>0</v>
      </c>
      <c r="AN86" s="40">
        <v>21</v>
      </c>
      <c r="AO86" s="40">
        <f>I86*0.536809453471196</f>
        <v>0</v>
      </c>
      <c r="AP86" s="40">
        <f>I86*(1-0.536809453471196)</f>
        <v>0</v>
      </c>
      <c r="AQ86" s="41" t="s">
        <v>13</v>
      </c>
      <c r="AV86" s="40">
        <f t="shared" si="60"/>
        <v>0</v>
      </c>
      <c r="AW86" s="40">
        <f t="shared" si="61"/>
        <v>0</v>
      </c>
      <c r="AX86" s="40">
        <f t="shared" si="62"/>
        <v>0</v>
      </c>
      <c r="AY86" s="43" t="s">
        <v>538</v>
      </c>
      <c r="AZ86" s="43" t="s">
        <v>563</v>
      </c>
      <c r="BA86" s="37" t="s">
        <v>568</v>
      </c>
      <c r="BC86" s="40">
        <f t="shared" si="63"/>
        <v>0</v>
      </c>
      <c r="BD86" s="40">
        <f t="shared" si="64"/>
        <v>0</v>
      </c>
      <c r="BE86" s="40">
        <v>0</v>
      </c>
      <c r="BF86" s="40">
        <f t="shared" si="65"/>
        <v>258</v>
      </c>
      <c r="BH86" s="26">
        <f t="shared" si="66"/>
        <v>0</v>
      </c>
      <c r="BI86" s="26">
        <f t="shared" si="67"/>
        <v>0</v>
      </c>
      <c r="BJ86" s="26">
        <f t="shared" si="68"/>
        <v>0</v>
      </c>
      <c r="BK86" s="26" t="s">
        <v>573</v>
      </c>
      <c r="BL86" s="40">
        <v>734</v>
      </c>
    </row>
    <row r="87" spans="1:64" x14ac:dyDescent="0.25">
      <c r="A87" s="4" t="s">
        <v>67</v>
      </c>
      <c r="B87" s="14" t="s">
        <v>214</v>
      </c>
      <c r="C87" s="135" t="s">
        <v>385</v>
      </c>
      <c r="D87" s="136"/>
      <c r="E87" s="136"/>
      <c r="F87" s="136"/>
      <c r="G87" s="14" t="s">
        <v>500</v>
      </c>
      <c r="H87" s="26">
        <v>4</v>
      </c>
      <c r="I87" s="26">
        <v>0</v>
      </c>
      <c r="J87" s="26">
        <f t="shared" si="46"/>
        <v>0</v>
      </c>
      <c r="K87" s="26">
        <f t="shared" si="47"/>
        <v>0</v>
      </c>
      <c r="L87" s="26">
        <f t="shared" si="48"/>
        <v>0</v>
      </c>
      <c r="M87" s="26">
        <v>2.4000000000000001E-4</v>
      </c>
      <c r="N87" s="49">
        <f>H87*87</f>
        <v>348</v>
      </c>
      <c r="O87" s="6"/>
      <c r="Z87" s="40">
        <f t="shared" si="49"/>
        <v>0</v>
      </c>
      <c r="AB87" s="40">
        <f t="shared" si="50"/>
        <v>0</v>
      </c>
      <c r="AC87" s="40">
        <f t="shared" si="51"/>
        <v>0</v>
      </c>
      <c r="AD87" s="40">
        <f t="shared" si="52"/>
        <v>0</v>
      </c>
      <c r="AE87" s="40">
        <f t="shared" si="53"/>
        <v>0</v>
      </c>
      <c r="AF87" s="40">
        <f t="shared" si="54"/>
        <v>0</v>
      </c>
      <c r="AG87" s="40">
        <f t="shared" si="55"/>
        <v>0</v>
      </c>
      <c r="AH87" s="40">
        <f t="shared" si="56"/>
        <v>0</v>
      </c>
      <c r="AI87" s="37"/>
      <c r="AJ87" s="26">
        <f t="shared" si="57"/>
        <v>0</v>
      </c>
      <c r="AK87" s="26">
        <f t="shared" si="58"/>
        <v>0</v>
      </c>
      <c r="AL87" s="26">
        <f t="shared" si="59"/>
        <v>0</v>
      </c>
      <c r="AN87" s="40">
        <v>21</v>
      </c>
      <c r="AO87" s="40">
        <f>I87*0.648287526427061</f>
        <v>0</v>
      </c>
      <c r="AP87" s="40">
        <f>I87*(1-0.648287526427061)</f>
        <v>0</v>
      </c>
      <c r="AQ87" s="41" t="s">
        <v>13</v>
      </c>
      <c r="AV87" s="40">
        <f t="shared" si="60"/>
        <v>0</v>
      </c>
      <c r="AW87" s="40">
        <f t="shared" si="61"/>
        <v>0</v>
      </c>
      <c r="AX87" s="40">
        <f t="shared" si="62"/>
        <v>0</v>
      </c>
      <c r="AY87" s="43" t="s">
        <v>538</v>
      </c>
      <c r="AZ87" s="43" t="s">
        <v>563</v>
      </c>
      <c r="BA87" s="37" t="s">
        <v>568</v>
      </c>
      <c r="BC87" s="40">
        <f t="shared" si="63"/>
        <v>0</v>
      </c>
      <c r="BD87" s="40">
        <f t="shared" si="64"/>
        <v>0</v>
      </c>
      <c r="BE87" s="40">
        <v>0</v>
      </c>
      <c r="BF87" s="40">
        <f t="shared" si="65"/>
        <v>348</v>
      </c>
      <c r="BH87" s="26">
        <f t="shared" si="66"/>
        <v>0</v>
      </c>
      <c r="BI87" s="26">
        <f t="shared" si="67"/>
        <v>0</v>
      </c>
      <c r="BJ87" s="26">
        <f t="shared" si="68"/>
        <v>0</v>
      </c>
      <c r="BK87" s="26" t="s">
        <v>573</v>
      </c>
      <c r="BL87" s="40">
        <v>734</v>
      </c>
    </row>
    <row r="88" spans="1:64" x14ac:dyDescent="0.25">
      <c r="A88" s="4" t="s">
        <v>68</v>
      </c>
      <c r="B88" s="14" t="s">
        <v>215</v>
      </c>
      <c r="C88" s="135" t="s">
        <v>386</v>
      </c>
      <c r="D88" s="136"/>
      <c r="E88" s="136"/>
      <c r="F88" s="136"/>
      <c r="G88" s="14" t="s">
        <v>500</v>
      </c>
      <c r="H88" s="26">
        <v>1</v>
      </c>
      <c r="I88" s="26">
        <v>0</v>
      </c>
      <c r="J88" s="26">
        <f t="shared" si="46"/>
        <v>0</v>
      </c>
      <c r="K88" s="26">
        <f t="shared" si="47"/>
        <v>0</v>
      </c>
      <c r="L88" s="26">
        <f t="shared" si="48"/>
        <v>0</v>
      </c>
      <c r="M88" s="26">
        <v>2.1000000000000001E-4</v>
      </c>
      <c r="N88" s="49">
        <f>H88*88</f>
        <v>88</v>
      </c>
      <c r="O88" s="6"/>
      <c r="Z88" s="40">
        <f t="shared" si="49"/>
        <v>0</v>
      </c>
      <c r="AB88" s="40">
        <f t="shared" si="50"/>
        <v>0</v>
      </c>
      <c r="AC88" s="40">
        <f t="shared" si="51"/>
        <v>0</v>
      </c>
      <c r="AD88" s="40">
        <f t="shared" si="52"/>
        <v>0</v>
      </c>
      <c r="AE88" s="40">
        <f t="shared" si="53"/>
        <v>0</v>
      </c>
      <c r="AF88" s="40">
        <f t="shared" si="54"/>
        <v>0</v>
      </c>
      <c r="AG88" s="40">
        <f t="shared" si="55"/>
        <v>0</v>
      </c>
      <c r="AH88" s="40">
        <f t="shared" si="56"/>
        <v>0</v>
      </c>
      <c r="AI88" s="37"/>
      <c r="AJ88" s="26">
        <f t="shared" si="57"/>
        <v>0</v>
      </c>
      <c r="AK88" s="26">
        <f t="shared" si="58"/>
        <v>0</v>
      </c>
      <c r="AL88" s="26">
        <f t="shared" si="59"/>
        <v>0</v>
      </c>
      <c r="AN88" s="40">
        <v>21</v>
      </c>
      <c r="AO88" s="40">
        <f>I88*0.830552016985138</f>
        <v>0</v>
      </c>
      <c r="AP88" s="40">
        <f>I88*(1-0.830552016985138)</f>
        <v>0</v>
      </c>
      <c r="AQ88" s="41" t="s">
        <v>13</v>
      </c>
      <c r="AV88" s="40">
        <f t="shared" si="60"/>
        <v>0</v>
      </c>
      <c r="AW88" s="40">
        <f t="shared" si="61"/>
        <v>0</v>
      </c>
      <c r="AX88" s="40">
        <f t="shared" si="62"/>
        <v>0</v>
      </c>
      <c r="AY88" s="43" t="s">
        <v>538</v>
      </c>
      <c r="AZ88" s="43" t="s">
        <v>563</v>
      </c>
      <c r="BA88" s="37" t="s">
        <v>568</v>
      </c>
      <c r="BC88" s="40">
        <f t="shared" si="63"/>
        <v>0</v>
      </c>
      <c r="BD88" s="40">
        <f t="shared" si="64"/>
        <v>0</v>
      </c>
      <c r="BE88" s="40">
        <v>0</v>
      </c>
      <c r="BF88" s="40">
        <f t="shared" si="65"/>
        <v>88</v>
      </c>
      <c r="BH88" s="26">
        <f t="shared" si="66"/>
        <v>0</v>
      </c>
      <c r="BI88" s="26">
        <f t="shared" si="67"/>
        <v>0</v>
      </c>
      <c r="BJ88" s="26">
        <f t="shared" si="68"/>
        <v>0</v>
      </c>
      <c r="BK88" s="26" t="s">
        <v>573</v>
      </c>
      <c r="BL88" s="40">
        <v>734</v>
      </c>
    </row>
    <row r="89" spans="1:64" x14ac:dyDescent="0.25">
      <c r="A89" s="4" t="s">
        <v>69</v>
      </c>
      <c r="B89" s="14" t="s">
        <v>216</v>
      </c>
      <c r="C89" s="135" t="s">
        <v>387</v>
      </c>
      <c r="D89" s="136"/>
      <c r="E89" s="136"/>
      <c r="F89" s="136"/>
      <c r="G89" s="14" t="s">
        <v>500</v>
      </c>
      <c r="H89" s="26">
        <v>2</v>
      </c>
      <c r="I89" s="26">
        <v>0</v>
      </c>
      <c r="J89" s="26">
        <f t="shared" si="46"/>
        <v>0</v>
      </c>
      <c r="K89" s="26">
        <f t="shared" si="47"/>
        <v>0</v>
      </c>
      <c r="L89" s="26">
        <f t="shared" si="48"/>
        <v>0</v>
      </c>
      <c r="M89" s="26">
        <v>3.4000000000000002E-4</v>
      </c>
      <c r="N89" s="49">
        <f>H89*89</f>
        <v>178</v>
      </c>
      <c r="O89" s="6"/>
      <c r="Z89" s="40">
        <f t="shared" si="49"/>
        <v>0</v>
      </c>
      <c r="AB89" s="40">
        <f t="shared" si="50"/>
        <v>0</v>
      </c>
      <c r="AC89" s="40">
        <f t="shared" si="51"/>
        <v>0</v>
      </c>
      <c r="AD89" s="40">
        <f t="shared" si="52"/>
        <v>0</v>
      </c>
      <c r="AE89" s="40">
        <f t="shared" si="53"/>
        <v>0</v>
      </c>
      <c r="AF89" s="40">
        <f t="shared" si="54"/>
        <v>0</v>
      </c>
      <c r="AG89" s="40">
        <f t="shared" si="55"/>
        <v>0</v>
      </c>
      <c r="AH89" s="40">
        <f t="shared" si="56"/>
        <v>0</v>
      </c>
      <c r="AI89" s="37"/>
      <c r="AJ89" s="26">
        <f t="shared" si="57"/>
        <v>0</v>
      </c>
      <c r="AK89" s="26">
        <f t="shared" si="58"/>
        <v>0</v>
      </c>
      <c r="AL89" s="26">
        <f t="shared" si="59"/>
        <v>0</v>
      </c>
      <c r="AN89" s="40">
        <v>21</v>
      </c>
      <c r="AO89" s="40">
        <f>I89*0.834810543657331</f>
        <v>0</v>
      </c>
      <c r="AP89" s="40">
        <f>I89*(1-0.834810543657331)</f>
        <v>0</v>
      </c>
      <c r="AQ89" s="41" t="s">
        <v>13</v>
      </c>
      <c r="AV89" s="40">
        <f t="shared" si="60"/>
        <v>0</v>
      </c>
      <c r="AW89" s="40">
        <f t="shared" si="61"/>
        <v>0</v>
      </c>
      <c r="AX89" s="40">
        <f t="shared" si="62"/>
        <v>0</v>
      </c>
      <c r="AY89" s="43" t="s">
        <v>538</v>
      </c>
      <c r="AZ89" s="43" t="s">
        <v>563</v>
      </c>
      <c r="BA89" s="37" t="s">
        <v>568</v>
      </c>
      <c r="BC89" s="40">
        <f t="shared" si="63"/>
        <v>0</v>
      </c>
      <c r="BD89" s="40">
        <f t="shared" si="64"/>
        <v>0</v>
      </c>
      <c r="BE89" s="40">
        <v>0</v>
      </c>
      <c r="BF89" s="40">
        <f t="shared" si="65"/>
        <v>178</v>
      </c>
      <c r="BH89" s="26">
        <f t="shared" si="66"/>
        <v>0</v>
      </c>
      <c r="BI89" s="26">
        <f t="shared" si="67"/>
        <v>0</v>
      </c>
      <c r="BJ89" s="26">
        <f t="shared" si="68"/>
        <v>0</v>
      </c>
      <c r="BK89" s="26" t="s">
        <v>573</v>
      </c>
      <c r="BL89" s="40">
        <v>734</v>
      </c>
    </row>
    <row r="90" spans="1:64" x14ac:dyDescent="0.25">
      <c r="A90" s="4" t="s">
        <v>70</v>
      </c>
      <c r="B90" s="14" t="s">
        <v>217</v>
      </c>
      <c r="C90" s="135" t="s">
        <v>388</v>
      </c>
      <c r="D90" s="136"/>
      <c r="E90" s="136"/>
      <c r="F90" s="136"/>
      <c r="G90" s="14" t="s">
        <v>500</v>
      </c>
      <c r="H90" s="26">
        <v>2</v>
      </c>
      <c r="I90" s="26">
        <v>0</v>
      </c>
      <c r="J90" s="26">
        <f t="shared" si="46"/>
        <v>0</v>
      </c>
      <c r="K90" s="26">
        <f t="shared" si="47"/>
        <v>0</v>
      </c>
      <c r="L90" s="26">
        <f t="shared" si="48"/>
        <v>0</v>
      </c>
      <c r="M90" s="26">
        <v>8.0000000000000004E-4</v>
      </c>
      <c r="N90" s="49">
        <f>H90*90</f>
        <v>180</v>
      </c>
      <c r="O90" s="6"/>
      <c r="Z90" s="40">
        <f t="shared" si="49"/>
        <v>0</v>
      </c>
      <c r="AB90" s="40">
        <f t="shared" si="50"/>
        <v>0</v>
      </c>
      <c r="AC90" s="40">
        <f t="shared" si="51"/>
        <v>0</v>
      </c>
      <c r="AD90" s="40">
        <f t="shared" si="52"/>
        <v>0</v>
      </c>
      <c r="AE90" s="40">
        <f t="shared" si="53"/>
        <v>0</v>
      </c>
      <c r="AF90" s="40">
        <f t="shared" si="54"/>
        <v>0</v>
      </c>
      <c r="AG90" s="40">
        <f t="shared" si="55"/>
        <v>0</v>
      </c>
      <c r="AH90" s="40">
        <f t="shared" si="56"/>
        <v>0</v>
      </c>
      <c r="AI90" s="37"/>
      <c r="AJ90" s="26">
        <f t="shared" si="57"/>
        <v>0</v>
      </c>
      <c r="AK90" s="26">
        <f t="shared" si="58"/>
        <v>0</v>
      </c>
      <c r="AL90" s="26">
        <f t="shared" si="59"/>
        <v>0</v>
      </c>
      <c r="AN90" s="40">
        <v>21</v>
      </c>
      <c r="AO90" s="40">
        <f>I90*0.820344827586207</f>
        <v>0</v>
      </c>
      <c r="AP90" s="40">
        <f>I90*(1-0.820344827586207)</f>
        <v>0</v>
      </c>
      <c r="AQ90" s="41" t="s">
        <v>13</v>
      </c>
      <c r="AV90" s="40">
        <f t="shared" si="60"/>
        <v>0</v>
      </c>
      <c r="AW90" s="40">
        <f t="shared" si="61"/>
        <v>0</v>
      </c>
      <c r="AX90" s="40">
        <f t="shared" si="62"/>
        <v>0</v>
      </c>
      <c r="AY90" s="43" t="s">
        <v>538</v>
      </c>
      <c r="AZ90" s="43" t="s">
        <v>563</v>
      </c>
      <c r="BA90" s="37" t="s">
        <v>568</v>
      </c>
      <c r="BC90" s="40">
        <f t="shared" si="63"/>
        <v>0</v>
      </c>
      <c r="BD90" s="40">
        <f t="shared" si="64"/>
        <v>0</v>
      </c>
      <c r="BE90" s="40">
        <v>0</v>
      </c>
      <c r="BF90" s="40">
        <f t="shared" si="65"/>
        <v>180</v>
      </c>
      <c r="BH90" s="26">
        <f t="shared" si="66"/>
        <v>0</v>
      </c>
      <c r="BI90" s="26">
        <f t="shared" si="67"/>
        <v>0</v>
      </c>
      <c r="BJ90" s="26">
        <f t="shared" si="68"/>
        <v>0</v>
      </c>
      <c r="BK90" s="26" t="s">
        <v>573</v>
      </c>
      <c r="BL90" s="40">
        <v>734</v>
      </c>
    </row>
    <row r="91" spans="1:64" x14ac:dyDescent="0.25">
      <c r="A91" s="4" t="s">
        <v>71</v>
      </c>
      <c r="B91" s="14" t="s">
        <v>218</v>
      </c>
      <c r="C91" s="135" t="s">
        <v>389</v>
      </c>
      <c r="D91" s="136"/>
      <c r="E91" s="136"/>
      <c r="F91" s="136"/>
      <c r="G91" s="14" t="s">
        <v>500</v>
      </c>
      <c r="H91" s="26">
        <v>1</v>
      </c>
      <c r="I91" s="26">
        <v>0</v>
      </c>
      <c r="J91" s="26">
        <f t="shared" si="46"/>
        <v>0</v>
      </c>
      <c r="K91" s="26">
        <f t="shared" si="47"/>
        <v>0</v>
      </c>
      <c r="L91" s="26">
        <f t="shared" si="48"/>
        <v>0</v>
      </c>
      <c r="M91" s="26">
        <v>1.42E-3</v>
      </c>
      <c r="N91" s="49">
        <f>H91*91</f>
        <v>91</v>
      </c>
      <c r="O91" s="6"/>
      <c r="Z91" s="40">
        <f t="shared" si="49"/>
        <v>0</v>
      </c>
      <c r="AB91" s="40">
        <f t="shared" si="50"/>
        <v>0</v>
      </c>
      <c r="AC91" s="40">
        <f t="shared" si="51"/>
        <v>0</v>
      </c>
      <c r="AD91" s="40">
        <f t="shared" si="52"/>
        <v>0</v>
      </c>
      <c r="AE91" s="40">
        <f t="shared" si="53"/>
        <v>0</v>
      </c>
      <c r="AF91" s="40">
        <f t="shared" si="54"/>
        <v>0</v>
      </c>
      <c r="AG91" s="40">
        <f t="shared" si="55"/>
        <v>0</v>
      </c>
      <c r="AH91" s="40">
        <f t="shared" si="56"/>
        <v>0</v>
      </c>
      <c r="AI91" s="37"/>
      <c r="AJ91" s="26">
        <f t="shared" si="57"/>
        <v>0</v>
      </c>
      <c r="AK91" s="26">
        <f t="shared" si="58"/>
        <v>0</v>
      </c>
      <c r="AL91" s="26">
        <f t="shared" si="59"/>
        <v>0</v>
      </c>
      <c r="AN91" s="40">
        <v>21</v>
      </c>
      <c r="AO91" s="40">
        <f>I91*0.896618357487923</f>
        <v>0</v>
      </c>
      <c r="AP91" s="40">
        <f>I91*(1-0.896618357487923)</f>
        <v>0</v>
      </c>
      <c r="AQ91" s="41" t="s">
        <v>13</v>
      </c>
      <c r="AV91" s="40">
        <f t="shared" si="60"/>
        <v>0</v>
      </c>
      <c r="AW91" s="40">
        <f t="shared" si="61"/>
        <v>0</v>
      </c>
      <c r="AX91" s="40">
        <f t="shared" si="62"/>
        <v>0</v>
      </c>
      <c r="AY91" s="43" t="s">
        <v>538</v>
      </c>
      <c r="AZ91" s="43" t="s">
        <v>563</v>
      </c>
      <c r="BA91" s="37" t="s">
        <v>568</v>
      </c>
      <c r="BC91" s="40">
        <f t="shared" si="63"/>
        <v>0</v>
      </c>
      <c r="BD91" s="40">
        <f t="shared" si="64"/>
        <v>0</v>
      </c>
      <c r="BE91" s="40">
        <v>0</v>
      </c>
      <c r="BF91" s="40">
        <f t="shared" si="65"/>
        <v>91</v>
      </c>
      <c r="BH91" s="26">
        <f t="shared" si="66"/>
        <v>0</v>
      </c>
      <c r="BI91" s="26">
        <f t="shared" si="67"/>
        <v>0</v>
      </c>
      <c r="BJ91" s="26">
        <f t="shared" si="68"/>
        <v>0</v>
      </c>
      <c r="BK91" s="26" t="s">
        <v>573</v>
      </c>
      <c r="BL91" s="40">
        <v>734</v>
      </c>
    </row>
    <row r="92" spans="1:64" x14ac:dyDescent="0.25">
      <c r="A92" s="4" t="s">
        <v>72</v>
      </c>
      <c r="B92" s="14" t="s">
        <v>219</v>
      </c>
      <c r="C92" s="135" t="s">
        <v>390</v>
      </c>
      <c r="D92" s="136"/>
      <c r="E92" s="136"/>
      <c r="F92" s="136"/>
      <c r="G92" s="14" t="s">
        <v>500</v>
      </c>
      <c r="H92" s="26">
        <v>2</v>
      </c>
      <c r="I92" s="26">
        <v>0</v>
      </c>
      <c r="J92" s="26">
        <f t="shared" si="46"/>
        <v>0</v>
      </c>
      <c r="K92" s="26">
        <f t="shared" si="47"/>
        <v>0</v>
      </c>
      <c r="L92" s="26">
        <f t="shared" si="48"/>
        <v>0</v>
      </c>
      <c r="M92" s="26">
        <v>2.4000000000000001E-4</v>
      </c>
      <c r="N92" s="49">
        <f>H92*92</f>
        <v>184</v>
      </c>
      <c r="O92" s="6"/>
      <c r="Z92" s="40">
        <f t="shared" si="49"/>
        <v>0</v>
      </c>
      <c r="AB92" s="40">
        <f t="shared" si="50"/>
        <v>0</v>
      </c>
      <c r="AC92" s="40">
        <f t="shared" si="51"/>
        <v>0</v>
      </c>
      <c r="AD92" s="40">
        <f t="shared" si="52"/>
        <v>0</v>
      </c>
      <c r="AE92" s="40">
        <f t="shared" si="53"/>
        <v>0</v>
      </c>
      <c r="AF92" s="40">
        <f t="shared" si="54"/>
        <v>0</v>
      </c>
      <c r="AG92" s="40">
        <f t="shared" si="55"/>
        <v>0</v>
      </c>
      <c r="AH92" s="40">
        <f t="shared" si="56"/>
        <v>0</v>
      </c>
      <c r="AI92" s="37"/>
      <c r="AJ92" s="26">
        <f t="shared" si="57"/>
        <v>0</v>
      </c>
      <c r="AK92" s="26">
        <f t="shared" si="58"/>
        <v>0</v>
      </c>
      <c r="AL92" s="26">
        <f t="shared" si="59"/>
        <v>0</v>
      </c>
      <c r="AN92" s="40">
        <v>21</v>
      </c>
      <c r="AO92" s="40">
        <f>I92*0.523470319634703</f>
        <v>0</v>
      </c>
      <c r="AP92" s="40">
        <f>I92*(1-0.523470319634703)</f>
        <v>0</v>
      </c>
      <c r="AQ92" s="41" t="s">
        <v>13</v>
      </c>
      <c r="AV92" s="40">
        <f t="shared" si="60"/>
        <v>0</v>
      </c>
      <c r="AW92" s="40">
        <f t="shared" si="61"/>
        <v>0</v>
      </c>
      <c r="AX92" s="40">
        <f t="shared" si="62"/>
        <v>0</v>
      </c>
      <c r="AY92" s="43" t="s">
        <v>538</v>
      </c>
      <c r="AZ92" s="43" t="s">
        <v>563</v>
      </c>
      <c r="BA92" s="37" t="s">
        <v>568</v>
      </c>
      <c r="BC92" s="40">
        <f t="shared" si="63"/>
        <v>0</v>
      </c>
      <c r="BD92" s="40">
        <f t="shared" si="64"/>
        <v>0</v>
      </c>
      <c r="BE92" s="40">
        <v>0</v>
      </c>
      <c r="BF92" s="40">
        <f t="shared" si="65"/>
        <v>184</v>
      </c>
      <c r="BH92" s="26">
        <f t="shared" si="66"/>
        <v>0</v>
      </c>
      <c r="BI92" s="26">
        <f t="shared" si="67"/>
        <v>0</v>
      </c>
      <c r="BJ92" s="26">
        <f t="shared" si="68"/>
        <v>0</v>
      </c>
      <c r="BK92" s="26" t="s">
        <v>573</v>
      </c>
      <c r="BL92" s="40">
        <v>734</v>
      </c>
    </row>
    <row r="93" spans="1:64" x14ac:dyDescent="0.25">
      <c r="A93" s="4" t="s">
        <v>73</v>
      </c>
      <c r="B93" s="14" t="s">
        <v>220</v>
      </c>
      <c r="C93" s="135" t="s">
        <v>391</v>
      </c>
      <c r="D93" s="136"/>
      <c r="E93" s="136"/>
      <c r="F93" s="136"/>
      <c r="G93" s="14" t="s">
        <v>500</v>
      </c>
      <c r="H93" s="26">
        <v>1</v>
      </c>
      <c r="I93" s="26">
        <v>0</v>
      </c>
      <c r="J93" s="26">
        <f t="shared" si="46"/>
        <v>0</v>
      </c>
      <c r="K93" s="26">
        <f t="shared" si="47"/>
        <v>0</v>
      </c>
      <c r="L93" s="26">
        <f t="shared" si="48"/>
        <v>0</v>
      </c>
      <c r="M93" s="26">
        <v>1.6000000000000001E-4</v>
      </c>
      <c r="N93" s="49">
        <f>H93*93</f>
        <v>93</v>
      </c>
      <c r="O93" s="6"/>
      <c r="Z93" s="40">
        <f t="shared" si="49"/>
        <v>0</v>
      </c>
      <c r="AB93" s="40">
        <f t="shared" si="50"/>
        <v>0</v>
      </c>
      <c r="AC93" s="40">
        <f t="shared" si="51"/>
        <v>0</v>
      </c>
      <c r="AD93" s="40">
        <f t="shared" si="52"/>
        <v>0</v>
      </c>
      <c r="AE93" s="40">
        <f t="shared" si="53"/>
        <v>0</v>
      </c>
      <c r="AF93" s="40">
        <f t="shared" si="54"/>
        <v>0</v>
      </c>
      <c r="AG93" s="40">
        <f t="shared" si="55"/>
        <v>0</v>
      </c>
      <c r="AH93" s="40">
        <f t="shared" si="56"/>
        <v>0</v>
      </c>
      <c r="AI93" s="37"/>
      <c r="AJ93" s="26">
        <f t="shared" si="57"/>
        <v>0</v>
      </c>
      <c r="AK93" s="26">
        <f t="shared" si="58"/>
        <v>0</v>
      </c>
      <c r="AL93" s="26">
        <f t="shared" si="59"/>
        <v>0</v>
      </c>
      <c r="AN93" s="40">
        <v>21</v>
      </c>
      <c r="AO93" s="40">
        <f>I93*0.452450331125828</f>
        <v>0</v>
      </c>
      <c r="AP93" s="40">
        <f>I93*(1-0.452450331125828)</f>
        <v>0</v>
      </c>
      <c r="AQ93" s="41" t="s">
        <v>13</v>
      </c>
      <c r="AV93" s="40">
        <f t="shared" si="60"/>
        <v>0</v>
      </c>
      <c r="AW93" s="40">
        <f t="shared" si="61"/>
        <v>0</v>
      </c>
      <c r="AX93" s="40">
        <f t="shared" si="62"/>
        <v>0</v>
      </c>
      <c r="AY93" s="43" t="s">
        <v>538</v>
      </c>
      <c r="AZ93" s="43" t="s">
        <v>563</v>
      </c>
      <c r="BA93" s="37" t="s">
        <v>568</v>
      </c>
      <c r="BC93" s="40">
        <f t="shared" si="63"/>
        <v>0</v>
      </c>
      <c r="BD93" s="40">
        <f t="shared" si="64"/>
        <v>0</v>
      </c>
      <c r="BE93" s="40">
        <v>0</v>
      </c>
      <c r="BF93" s="40">
        <f t="shared" si="65"/>
        <v>93</v>
      </c>
      <c r="BH93" s="26">
        <f t="shared" si="66"/>
        <v>0</v>
      </c>
      <c r="BI93" s="26">
        <f t="shared" si="67"/>
        <v>0</v>
      </c>
      <c r="BJ93" s="26">
        <f t="shared" si="68"/>
        <v>0</v>
      </c>
      <c r="BK93" s="26" t="s">
        <v>573</v>
      </c>
      <c r="BL93" s="40">
        <v>734</v>
      </c>
    </row>
    <row r="94" spans="1:64" x14ac:dyDescent="0.25">
      <c r="A94" s="4" t="s">
        <v>74</v>
      </c>
      <c r="B94" s="14" t="s">
        <v>221</v>
      </c>
      <c r="C94" s="135" t="s">
        <v>392</v>
      </c>
      <c r="D94" s="136"/>
      <c r="E94" s="136"/>
      <c r="F94" s="136"/>
      <c r="G94" s="14" t="s">
        <v>500</v>
      </c>
      <c r="H94" s="26">
        <v>2</v>
      </c>
      <c r="I94" s="26">
        <v>0</v>
      </c>
      <c r="J94" s="26">
        <f t="shared" si="46"/>
        <v>0</v>
      </c>
      <c r="K94" s="26">
        <f t="shared" si="47"/>
        <v>0</v>
      </c>
      <c r="L94" s="26">
        <f t="shared" si="48"/>
        <v>0</v>
      </c>
      <c r="M94" s="26">
        <v>8.0000000000000004E-4</v>
      </c>
      <c r="N94" s="49">
        <f>H94*94</f>
        <v>188</v>
      </c>
      <c r="O94" s="6"/>
      <c r="Z94" s="40">
        <f t="shared" si="49"/>
        <v>0</v>
      </c>
      <c r="AB94" s="40">
        <f t="shared" si="50"/>
        <v>0</v>
      </c>
      <c r="AC94" s="40">
        <f t="shared" si="51"/>
        <v>0</v>
      </c>
      <c r="AD94" s="40">
        <f t="shared" si="52"/>
        <v>0</v>
      </c>
      <c r="AE94" s="40">
        <f t="shared" si="53"/>
        <v>0</v>
      </c>
      <c r="AF94" s="40">
        <f t="shared" si="54"/>
        <v>0</v>
      </c>
      <c r="AG94" s="40">
        <f t="shared" si="55"/>
        <v>0</v>
      </c>
      <c r="AH94" s="40">
        <f t="shared" si="56"/>
        <v>0</v>
      </c>
      <c r="AI94" s="37"/>
      <c r="AJ94" s="26">
        <f t="shared" si="57"/>
        <v>0</v>
      </c>
      <c r="AK94" s="26">
        <f t="shared" si="58"/>
        <v>0</v>
      </c>
      <c r="AL94" s="26">
        <f t="shared" si="59"/>
        <v>0</v>
      </c>
      <c r="AN94" s="40">
        <v>21</v>
      </c>
      <c r="AO94" s="40">
        <f>I94*0.819079754601227</f>
        <v>0</v>
      </c>
      <c r="AP94" s="40">
        <f>I94*(1-0.819079754601227)</f>
        <v>0</v>
      </c>
      <c r="AQ94" s="41" t="s">
        <v>13</v>
      </c>
      <c r="AV94" s="40">
        <f t="shared" si="60"/>
        <v>0</v>
      </c>
      <c r="AW94" s="40">
        <f t="shared" si="61"/>
        <v>0</v>
      </c>
      <c r="AX94" s="40">
        <f t="shared" si="62"/>
        <v>0</v>
      </c>
      <c r="AY94" s="43" t="s">
        <v>538</v>
      </c>
      <c r="AZ94" s="43" t="s">
        <v>563</v>
      </c>
      <c r="BA94" s="37" t="s">
        <v>568</v>
      </c>
      <c r="BC94" s="40">
        <f t="shared" si="63"/>
        <v>0</v>
      </c>
      <c r="BD94" s="40">
        <f t="shared" si="64"/>
        <v>0</v>
      </c>
      <c r="BE94" s="40">
        <v>0</v>
      </c>
      <c r="BF94" s="40">
        <f t="shared" si="65"/>
        <v>188</v>
      </c>
      <c r="BH94" s="26">
        <f t="shared" si="66"/>
        <v>0</v>
      </c>
      <c r="BI94" s="26">
        <f t="shared" si="67"/>
        <v>0</v>
      </c>
      <c r="BJ94" s="26">
        <f t="shared" si="68"/>
        <v>0</v>
      </c>
      <c r="BK94" s="26" t="s">
        <v>573</v>
      </c>
      <c r="BL94" s="40">
        <v>734</v>
      </c>
    </row>
    <row r="95" spans="1:64" x14ac:dyDescent="0.25">
      <c r="A95" s="4" t="s">
        <v>75</v>
      </c>
      <c r="B95" s="14" t="s">
        <v>222</v>
      </c>
      <c r="C95" s="135" t="s">
        <v>393</v>
      </c>
      <c r="D95" s="136"/>
      <c r="E95" s="136"/>
      <c r="F95" s="136"/>
      <c r="G95" s="14" t="s">
        <v>500</v>
      </c>
      <c r="H95" s="26">
        <v>5</v>
      </c>
      <c r="I95" s="26">
        <v>0</v>
      </c>
      <c r="J95" s="26">
        <f t="shared" si="46"/>
        <v>0</v>
      </c>
      <c r="K95" s="26">
        <f t="shared" si="47"/>
        <v>0</v>
      </c>
      <c r="L95" s="26">
        <f t="shared" si="48"/>
        <v>0</v>
      </c>
      <c r="M95" s="26">
        <v>3.3E-4</v>
      </c>
      <c r="N95" s="49">
        <f>H95*95</f>
        <v>475</v>
      </c>
      <c r="O95" s="6"/>
      <c r="Z95" s="40">
        <f t="shared" si="49"/>
        <v>0</v>
      </c>
      <c r="AB95" s="40">
        <f t="shared" si="50"/>
        <v>0</v>
      </c>
      <c r="AC95" s="40">
        <f t="shared" si="51"/>
        <v>0</v>
      </c>
      <c r="AD95" s="40">
        <f t="shared" si="52"/>
        <v>0</v>
      </c>
      <c r="AE95" s="40">
        <f t="shared" si="53"/>
        <v>0</v>
      </c>
      <c r="AF95" s="40">
        <f t="shared" si="54"/>
        <v>0</v>
      </c>
      <c r="AG95" s="40">
        <f t="shared" si="55"/>
        <v>0</v>
      </c>
      <c r="AH95" s="40">
        <f t="shared" si="56"/>
        <v>0</v>
      </c>
      <c r="AI95" s="37"/>
      <c r="AJ95" s="26">
        <f t="shared" si="57"/>
        <v>0</v>
      </c>
      <c r="AK95" s="26">
        <f t="shared" si="58"/>
        <v>0</v>
      </c>
      <c r="AL95" s="26">
        <f t="shared" si="59"/>
        <v>0</v>
      </c>
      <c r="AN95" s="40">
        <v>21</v>
      </c>
      <c r="AO95" s="40">
        <f>I95*0.675008460236887</f>
        <v>0</v>
      </c>
      <c r="AP95" s="40">
        <f>I95*(1-0.675008460236887)</f>
        <v>0</v>
      </c>
      <c r="AQ95" s="41" t="s">
        <v>13</v>
      </c>
      <c r="AV95" s="40">
        <f t="shared" si="60"/>
        <v>0</v>
      </c>
      <c r="AW95" s="40">
        <f t="shared" si="61"/>
        <v>0</v>
      </c>
      <c r="AX95" s="40">
        <f t="shared" si="62"/>
        <v>0</v>
      </c>
      <c r="AY95" s="43" t="s">
        <v>538</v>
      </c>
      <c r="AZ95" s="43" t="s">
        <v>563</v>
      </c>
      <c r="BA95" s="37" t="s">
        <v>568</v>
      </c>
      <c r="BC95" s="40">
        <f t="shared" si="63"/>
        <v>0</v>
      </c>
      <c r="BD95" s="40">
        <f t="shared" si="64"/>
        <v>0</v>
      </c>
      <c r="BE95" s="40">
        <v>0</v>
      </c>
      <c r="BF95" s="40">
        <f t="shared" si="65"/>
        <v>475</v>
      </c>
      <c r="BH95" s="26">
        <f t="shared" si="66"/>
        <v>0</v>
      </c>
      <c r="BI95" s="26">
        <f t="shared" si="67"/>
        <v>0</v>
      </c>
      <c r="BJ95" s="26">
        <f t="shared" si="68"/>
        <v>0</v>
      </c>
      <c r="BK95" s="26" t="s">
        <v>573</v>
      </c>
      <c r="BL95" s="40">
        <v>734</v>
      </c>
    </row>
    <row r="96" spans="1:64" x14ac:dyDescent="0.25">
      <c r="A96" s="4" t="s">
        <v>76</v>
      </c>
      <c r="B96" s="14" t="s">
        <v>223</v>
      </c>
      <c r="C96" s="135" t="s">
        <v>394</v>
      </c>
      <c r="D96" s="136"/>
      <c r="E96" s="136"/>
      <c r="F96" s="136"/>
      <c r="G96" s="14" t="s">
        <v>500</v>
      </c>
      <c r="H96" s="26">
        <v>3</v>
      </c>
      <c r="I96" s="26">
        <v>0</v>
      </c>
      <c r="J96" s="26">
        <f t="shared" si="46"/>
        <v>0</v>
      </c>
      <c r="K96" s="26">
        <f t="shared" si="47"/>
        <v>0</v>
      </c>
      <c r="L96" s="26">
        <f t="shared" si="48"/>
        <v>0</v>
      </c>
      <c r="M96" s="26">
        <v>3.1E-4</v>
      </c>
      <c r="N96" s="49">
        <f>H96*96</f>
        <v>288</v>
      </c>
      <c r="O96" s="6"/>
      <c r="Z96" s="40">
        <f t="shared" si="49"/>
        <v>0</v>
      </c>
      <c r="AB96" s="40">
        <f t="shared" si="50"/>
        <v>0</v>
      </c>
      <c r="AC96" s="40">
        <f t="shared" si="51"/>
        <v>0</v>
      </c>
      <c r="AD96" s="40">
        <f t="shared" si="52"/>
        <v>0</v>
      </c>
      <c r="AE96" s="40">
        <f t="shared" si="53"/>
        <v>0</v>
      </c>
      <c r="AF96" s="40">
        <f t="shared" si="54"/>
        <v>0</v>
      </c>
      <c r="AG96" s="40">
        <f t="shared" si="55"/>
        <v>0</v>
      </c>
      <c r="AH96" s="40">
        <f t="shared" si="56"/>
        <v>0</v>
      </c>
      <c r="AI96" s="37"/>
      <c r="AJ96" s="26">
        <f t="shared" si="57"/>
        <v>0</v>
      </c>
      <c r="AK96" s="26">
        <f t="shared" si="58"/>
        <v>0</v>
      </c>
      <c r="AL96" s="26">
        <f t="shared" si="59"/>
        <v>0</v>
      </c>
      <c r="AN96" s="40">
        <v>21</v>
      </c>
      <c r="AO96" s="40">
        <f>I96*0.783708333333333</f>
        <v>0</v>
      </c>
      <c r="AP96" s="40">
        <f>I96*(1-0.783708333333333)</f>
        <v>0</v>
      </c>
      <c r="AQ96" s="41" t="s">
        <v>13</v>
      </c>
      <c r="AV96" s="40">
        <f t="shared" si="60"/>
        <v>0</v>
      </c>
      <c r="AW96" s="40">
        <f t="shared" si="61"/>
        <v>0</v>
      </c>
      <c r="AX96" s="40">
        <f t="shared" si="62"/>
        <v>0</v>
      </c>
      <c r="AY96" s="43" t="s">
        <v>538</v>
      </c>
      <c r="AZ96" s="43" t="s">
        <v>563</v>
      </c>
      <c r="BA96" s="37" t="s">
        <v>568</v>
      </c>
      <c r="BC96" s="40">
        <f t="shared" si="63"/>
        <v>0</v>
      </c>
      <c r="BD96" s="40">
        <f t="shared" si="64"/>
        <v>0</v>
      </c>
      <c r="BE96" s="40">
        <v>0</v>
      </c>
      <c r="BF96" s="40">
        <f t="shared" si="65"/>
        <v>288</v>
      </c>
      <c r="BH96" s="26">
        <f t="shared" si="66"/>
        <v>0</v>
      </c>
      <c r="BI96" s="26">
        <f t="shared" si="67"/>
        <v>0</v>
      </c>
      <c r="BJ96" s="26">
        <f t="shared" si="68"/>
        <v>0</v>
      </c>
      <c r="BK96" s="26" t="s">
        <v>573</v>
      </c>
      <c r="BL96" s="40">
        <v>734</v>
      </c>
    </row>
    <row r="97" spans="1:64" x14ac:dyDescent="0.25">
      <c r="A97" s="4" t="s">
        <v>77</v>
      </c>
      <c r="B97" s="14" t="s">
        <v>224</v>
      </c>
      <c r="C97" s="135" t="s">
        <v>395</v>
      </c>
      <c r="D97" s="136"/>
      <c r="E97" s="136"/>
      <c r="F97" s="136"/>
      <c r="G97" s="14" t="s">
        <v>500</v>
      </c>
      <c r="H97" s="26">
        <v>6</v>
      </c>
      <c r="I97" s="26">
        <v>0</v>
      </c>
      <c r="J97" s="26">
        <f t="shared" si="46"/>
        <v>0</v>
      </c>
      <c r="K97" s="26">
        <f t="shared" si="47"/>
        <v>0</v>
      </c>
      <c r="L97" s="26">
        <f t="shared" si="48"/>
        <v>0</v>
      </c>
      <c r="M97" s="26">
        <v>4.2999999999999999E-4</v>
      </c>
      <c r="N97" s="49">
        <f>H97*97</f>
        <v>582</v>
      </c>
      <c r="O97" s="6"/>
      <c r="Z97" s="40">
        <f t="shared" si="49"/>
        <v>0</v>
      </c>
      <c r="AB97" s="40">
        <f t="shared" si="50"/>
        <v>0</v>
      </c>
      <c r="AC97" s="40">
        <f t="shared" si="51"/>
        <v>0</v>
      </c>
      <c r="AD97" s="40">
        <f t="shared" si="52"/>
        <v>0</v>
      </c>
      <c r="AE97" s="40">
        <f t="shared" si="53"/>
        <v>0</v>
      </c>
      <c r="AF97" s="40">
        <f t="shared" si="54"/>
        <v>0</v>
      </c>
      <c r="AG97" s="40">
        <f t="shared" si="55"/>
        <v>0</v>
      </c>
      <c r="AH97" s="40">
        <f t="shared" si="56"/>
        <v>0</v>
      </c>
      <c r="AI97" s="37"/>
      <c r="AJ97" s="26">
        <f t="shared" si="57"/>
        <v>0</v>
      </c>
      <c r="AK97" s="26">
        <f t="shared" si="58"/>
        <v>0</v>
      </c>
      <c r="AL97" s="26">
        <f t="shared" si="59"/>
        <v>0</v>
      </c>
      <c r="AN97" s="40">
        <v>21</v>
      </c>
      <c r="AO97" s="40">
        <f>I97*0.831734197730956</f>
        <v>0</v>
      </c>
      <c r="AP97" s="40">
        <f>I97*(1-0.831734197730956)</f>
        <v>0</v>
      </c>
      <c r="AQ97" s="41" t="s">
        <v>13</v>
      </c>
      <c r="AV97" s="40">
        <f t="shared" si="60"/>
        <v>0</v>
      </c>
      <c r="AW97" s="40">
        <f t="shared" si="61"/>
        <v>0</v>
      </c>
      <c r="AX97" s="40">
        <f t="shared" si="62"/>
        <v>0</v>
      </c>
      <c r="AY97" s="43" t="s">
        <v>538</v>
      </c>
      <c r="AZ97" s="43" t="s">
        <v>563</v>
      </c>
      <c r="BA97" s="37" t="s">
        <v>568</v>
      </c>
      <c r="BC97" s="40">
        <f t="shared" si="63"/>
        <v>0</v>
      </c>
      <c r="BD97" s="40">
        <f t="shared" si="64"/>
        <v>0</v>
      </c>
      <c r="BE97" s="40">
        <v>0</v>
      </c>
      <c r="BF97" s="40">
        <f t="shared" si="65"/>
        <v>582</v>
      </c>
      <c r="BH97" s="26">
        <f t="shared" si="66"/>
        <v>0</v>
      </c>
      <c r="BI97" s="26">
        <f t="shared" si="67"/>
        <v>0</v>
      </c>
      <c r="BJ97" s="26">
        <f t="shared" si="68"/>
        <v>0</v>
      </c>
      <c r="BK97" s="26" t="s">
        <v>573</v>
      </c>
      <c r="BL97" s="40">
        <v>734</v>
      </c>
    </row>
    <row r="98" spans="1:64" x14ac:dyDescent="0.25">
      <c r="A98" s="4" t="s">
        <v>78</v>
      </c>
      <c r="B98" s="14" t="s">
        <v>225</v>
      </c>
      <c r="C98" s="135" t="s">
        <v>396</v>
      </c>
      <c r="D98" s="136"/>
      <c r="E98" s="136"/>
      <c r="F98" s="136"/>
      <c r="G98" s="14" t="s">
        <v>500</v>
      </c>
      <c r="H98" s="26">
        <v>24</v>
      </c>
      <c r="I98" s="26">
        <v>0</v>
      </c>
      <c r="J98" s="26">
        <f t="shared" si="46"/>
        <v>0</v>
      </c>
      <c r="K98" s="26">
        <f t="shared" si="47"/>
        <v>0</v>
      </c>
      <c r="L98" s="26">
        <f t="shared" si="48"/>
        <v>0</v>
      </c>
      <c r="M98" s="26">
        <v>8.4000000000000003E-4</v>
      </c>
      <c r="N98" s="49">
        <f>H98*98</f>
        <v>2352</v>
      </c>
      <c r="O98" s="6"/>
      <c r="Z98" s="40">
        <f t="shared" si="49"/>
        <v>0</v>
      </c>
      <c r="AB98" s="40">
        <f t="shared" si="50"/>
        <v>0</v>
      </c>
      <c r="AC98" s="40">
        <f t="shared" si="51"/>
        <v>0</v>
      </c>
      <c r="AD98" s="40">
        <f t="shared" si="52"/>
        <v>0</v>
      </c>
      <c r="AE98" s="40">
        <f t="shared" si="53"/>
        <v>0</v>
      </c>
      <c r="AF98" s="40">
        <f t="shared" si="54"/>
        <v>0</v>
      </c>
      <c r="AG98" s="40">
        <f t="shared" si="55"/>
        <v>0</v>
      </c>
      <c r="AH98" s="40">
        <f t="shared" si="56"/>
        <v>0</v>
      </c>
      <c r="AI98" s="37"/>
      <c r="AJ98" s="26">
        <f t="shared" si="57"/>
        <v>0</v>
      </c>
      <c r="AK98" s="26">
        <f t="shared" si="58"/>
        <v>0</v>
      </c>
      <c r="AL98" s="26">
        <f t="shared" si="59"/>
        <v>0</v>
      </c>
      <c r="AN98" s="40">
        <v>21</v>
      </c>
      <c r="AO98" s="40">
        <f>I98*0.860263231587791</f>
        <v>0</v>
      </c>
      <c r="AP98" s="40">
        <f>I98*(1-0.860263231587791)</f>
        <v>0</v>
      </c>
      <c r="AQ98" s="41" t="s">
        <v>13</v>
      </c>
      <c r="AV98" s="40">
        <f t="shared" si="60"/>
        <v>0</v>
      </c>
      <c r="AW98" s="40">
        <f t="shared" si="61"/>
        <v>0</v>
      </c>
      <c r="AX98" s="40">
        <f t="shared" si="62"/>
        <v>0</v>
      </c>
      <c r="AY98" s="43" t="s">
        <v>538</v>
      </c>
      <c r="AZ98" s="43" t="s">
        <v>563</v>
      </c>
      <c r="BA98" s="37" t="s">
        <v>568</v>
      </c>
      <c r="BC98" s="40">
        <f t="shared" si="63"/>
        <v>0</v>
      </c>
      <c r="BD98" s="40">
        <f t="shared" si="64"/>
        <v>0</v>
      </c>
      <c r="BE98" s="40">
        <v>0</v>
      </c>
      <c r="BF98" s="40">
        <f t="shared" si="65"/>
        <v>2352</v>
      </c>
      <c r="BH98" s="26">
        <f t="shared" si="66"/>
        <v>0</v>
      </c>
      <c r="BI98" s="26">
        <f t="shared" si="67"/>
        <v>0</v>
      </c>
      <c r="BJ98" s="26">
        <f t="shared" si="68"/>
        <v>0</v>
      </c>
      <c r="BK98" s="26" t="s">
        <v>573</v>
      </c>
      <c r="BL98" s="40">
        <v>734</v>
      </c>
    </row>
    <row r="99" spans="1:64" x14ac:dyDescent="0.25">
      <c r="A99" s="4" t="s">
        <v>79</v>
      </c>
      <c r="B99" s="14" t="s">
        <v>226</v>
      </c>
      <c r="C99" s="135" t="s">
        <v>397</v>
      </c>
      <c r="D99" s="136"/>
      <c r="E99" s="136"/>
      <c r="F99" s="136"/>
      <c r="G99" s="14" t="s">
        <v>500</v>
      </c>
      <c r="H99" s="26">
        <v>10</v>
      </c>
      <c r="I99" s="26">
        <v>0</v>
      </c>
      <c r="J99" s="26">
        <f t="shared" si="46"/>
        <v>0</v>
      </c>
      <c r="K99" s="26">
        <f t="shared" si="47"/>
        <v>0</v>
      </c>
      <c r="L99" s="26">
        <f t="shared" si="48"/>
        <v>0</v>
      </c>
      <c r="M99" s="26">
        <v>4.0000000000000002E-4</v>
      </c>
      <c r="N99" s="49">
        <f>H99*99</f>
        <v>990</v>
      </c>
      <c r="O99" s="6"/>
      <c r="Z99" s="40">
        <f t="shared" si="49"/>
        <v>0</v>
      </c>
      <c r="AB99" s="40">
        <f t="shared" si="50"/>
        <v>0</v>
      </c>
      <c r="AC99" s="40">
        <f t="shared" si="51"/>
        <v>0</v>
      </c>
      <c r="AD99" s="40">
        <f t="shared" si="52"/>
        <v>0</v>
      </c>
      <c r="AE99" s="40">
        <f t="shared" si="53"/>
        <v>0</v>
      </c>
      <c r="AF99" s="40">
        <f t="shared" si="54"/>
        <v>0</v>
      </c>
      <c r="AG99" s="40">
        <f t="shared" si="55"/>
        <v>0</v>
      </c>
      <c r="AH99" s="40">
        <f t="shared" si="56"/>
        <v>0</v>
      </c>
      <c r="AI99" s="37"/>
      <c r="AJ99" s="26">
        <f t="shared" si="57"/>
        <v>0</v>
      </c>
      <c r="AK99" s="26">
        <f t="shared" si="58"/>
        <v>0</v>
      </c>
      <c r="AL99" s="26">
        <f t="shared" si="59"/>
        <v>0</v>
      </c>
      <c r="AN99" s="40">
        <v>21</v>
      </c>
      <c r="AO99" s="40">
        <f>I99*0.792013311148086</f>
        <v>0</v>
      </c>
      <c r="AP99" s="40">
        <f>I99*(1-0.792013311148086)</f>
        <v>0</v>
      </c>
      <c r="AQ99" s="41" t="s">
        <v>13</v>
      </c>
      <c r="AV99" s="40">
        <f t="shared" si="60"/>
        <v>0</v>
      </c>
      <c r="AW99" s="40">
        <f t="shared" si="61"/>
        <v>0</v>
      </c>
      <c r="AX99" s="40">
        <f t="shared" si="62"/>
        <v>0</v>
      </c>
      <c r="AY99" s="43" t="s">
        <v>538</v>
      </c>
      <c r="AZ99" s="43" t="s">
        <v>563</v>
      </c>
      <c r="BA99" s="37" t="s">
        <v>568</v>
      </c>
      <c r="BC99" s="40">
        <f t="shared" si="63"/>
        <v>0</v>
      </c>
      <c r="BD99" s="40">
        <f t="shared" si="64"/>
        <v>0</v>
      </c>
      <c r="BE99" s="40">
        <v>0</v>
      </c>
      <c r="BF99" s="40">
        <f t="shared" si="65"/>
        <v>990</v>
      </c>
      <c r="BH99" s="26">
        <f t="shared" si="66"/>
        <v>0</v>
      </c>
      <c r="BI99" s="26">
        <f t="shared" si="67"/>
        <v>0</v>
      </c>
      <c r="BJ99" s="26">
        <f t="shared" si="68"/>
        <v>0</v>
      </c>
      <c r="BK99" s="26" t="s">
        <v>573</v>
      </c>
      <c r="BL99" s="40">
        <v>734</v>
      </c>
    </row>
    <row r="100" spans="1:64" x14ac:dyDescent="0.25">
      <c r="A100" s="4" t="s">
        <v>80</v>
      </c>
      <c r="B100" s="14" t="s">
        <v>227</v>
      </c>
      <c r="C100" s="135" t="s">
        <v>398</v>
      </c>
      <c r="D100" s="136"/>
      <c r="E100" s="136"/>
      <c r="F100" s="136"/>
      <c r="G100" s="14" t="s">
        <v>500</v>
      </c>
      <c r="H100" s="26">
        <v>4</v>
      </c>
      <c r="I100" s="26">
        <v>0</v>
      </c>
      <c r="J100" s="26">
        <f t="shared" si="46"/>
        <v>0</v>
      </c>
      <c r="K100" s="26">
        <f t="shared" si="47"/>
        <v>0</v>
      </c>
      <c r="L100" s="26">
        <f t="shared" si="48"/>
        <v>0</v>
      </c>
      <c r="M100" s="26">
        <v>1.8000000000000001E-4</v>
      </c>
      <c r="N100" s="49">
        <f>H100*100</f>
        <v>400</v>
      </c>
      <c r="O100" s="6"/>
      <c r="Z100" s="40">
        <f t="shared" si="49"/>
        <v>0</v>
      </c>
      <c r="AB100" s="40">
        <f t="shared" si="50"/>
        <v>0</v>
      </c>
      <c r="AC100" s="40">
        <f t="shared" si="51"/>
        <v>0</v>
      </c>
      <c r="AD100" s="40">
        <f t="shared" si="52"/>
        <v>0</v>
      </c>
      <c r="AE100" s="40">
        <f t="shared" si="53"/>
        <v>0</v>
      </c>
      <c r="AF100" s="40">
        <f t="shared" si="54"/>
        <v>0</v>
      </c>
      <c r="AG100" s="40">
        <f t="shared" si="55"/>
        <v>0</v>
      </c>
      <c r="AH100" s="40">
        <f t="shared" si="56"/>
        <v>0</v>
      </c>
      <c r="AI100" s="37"/>
      <c r="AJ100" s="26">
        <f t="shared" si="57"/>
        <v>0</v>
      </c>
      <c r="AK100" s="26">
        <f t="shared" si="58"/>
        <v>0</v>
      </c>
      <c r="AL100" s="26">
        <f t="shared" si="59"/>
        <v>0</v>
      </c>
      <c r="AN100" s="40">
        <v>21</v>
      </c>
      <c r="AO100" s="40">
        <f>I100*0.70364500792393</f>
        <v>0</v>
      </c>
      <c r="AP100" s="40">
        <f>I100*(1-0.70364500792393)</f>
        <v>0</v>
      </c>
      <c r="AQ100" s="41" t="s">
        <v>13</v>
      </c>
      <c r="AV100" s="40">
        <f t="shared" si="60"/>
        <v>0</v>
      </c>
      <c r="AW100" s="40">
        <f t="shared" si="61"/>
        <v>0</v>
      </c>
      <c r="AX100" s="40">
        <f t="shared" si="62"/>
        <v>0</v>
      </c>
      <c r="AY100" s="43" t="s">
        <v>538</v>
      </c>
      <c r="AZ100" s="43" t="s">
        <v>563</v>
      </c>
      <c r="BA100" s="37" t="s">
        <v>568</v>
      </c>
      <c r="BC100" s="40">
        <f t="shared" si="63"/>
        <v>0</v>
      </c>
      <c r="BD100" s="40">
        <f t="shared" si="64"/>
        <v>0</v>
      </c>
      <c r="BE100" s="40">
        <v>0</v>
      </c>
      <c r="BF100" s="40">
        <f t="shared" si="65"/>
        <v>400</v>
      </c>
      <c r="BH100" s="26">
        <f t="shared" si="66"/>
        <v>0</v>
      </c>
      <c r="BI100" s="26">
        <f t="shared" si="67"/>
        <v>0</v>
      </c>
      <c r="BJ100" s="26">
        <f t="shared" si="68"/>
        <v>0</v>
      </c>
      <c r="BK100" s="26" t="s">
        <v>573</v>
      </c>
      <c r="BL100" s="40">
        <v>734</v>
      </c>
    </row>
    <row r="101" spans="1:64" x14ac:dyDescent="0.25">
      <c r="A101" s="4" t="s">
        <v>81</v>
      </c>
      <c r="B101" s="14" t="s">
        <v>228</v>
      </c>
      <c r="C101" s="135" t="s">
        <v>399</v>
      </c>
      <c r="D101" s="136"/>
      <c r="E101" s="136"/>
      <c r="F101" s="136"/>
      <c r="G101" s="14" t="s">
        <v>500</v>
      </c>
      <c r="H101" s="26">
        <v>6</v>
      </c>
      <c r="I101" s="26">
        <v>0</v>
      </c>
      <c r="J101" s="26">
        <f t="shared" si="46"/>
        <v>0</v>
      </c>
      <c r="K101" s="26">
        <f t="shared" si="47"/>
        <v>0</v>
      </c>
      <c r="L101" s="26">
        <f t="shared" si="48"/>
        <v>0</v>
      </c>
      <c r="M101" s="26">
        <v>1.1E-4</v>
      </c>
      <c r="N101" s="49">
        <f>H101*101</f>
        <v>606</v>
      </c>
      <c r="O101" s="6"/>
      <c r="Z101" s="40">
        <f t="shared" si="49"/>
        <v>0</v>
      </c>
      <c r="AB101" s="40">
        <f t="shared" si="50"/>
        <v>0</v>
      </c>
      <c r="AC101" s="40">
        <f t="shared" si="51"/>
        <v>0</v>
      </c>
      <c r="AD101" s="40">
        <f t="shared" si="52"/>
        <v>0</v>
      </c>
      <c r="AE101" s="40">
        <f t="shared" si="53"/>
        <v>0</v>
      </c>
      <c r="AF101" s="40">
        <f t="shared" si="54"/>
        <v>0</v>
      </c>
      <c r="AG101" s="40">
        <f t="shared" si="55"/>
        <v>0</v>
      </c>
      <c r="AH101" s="40">
        <f t="shared" si="56"/>
        <v>0</v>
      </c>
      <c r="AI101" s="37"/>
      <c r="AJ101" s="26">
        <f t="shared" si="57"/>
        <v>0</v>
      </c>
      <c r="AK101" s="26">
        <f t="shared" si="58"/>
        <v>0</v>
      </c>
      <c r="AL101" s="26">
        <f t="shared" si="59"/>
        <v>0</v>
      </c>
      <c r="AN101" s="40">
        <v>21</v>
      </c>
      <c r="AO101" s="40">
        <f>I101*0.664864864864865</f>
        <v>0</v>
      </c>
      <c r="AP101" s="40">
        <f>I101*(1-0.664864864864865)</f>
        <v>0</v>
      </c>
      <c r="AQ101" s="41" t="s">
        <v>13</v>
      </c>
      <c r="AV101" s="40">
        <f t="shared" si="60"/>
        <v>0</v>
      </c>
      <c r="AW101" s="40">
        <f t="shared" si="61"/>
        <v>0</v>
      </c>
      <c r="AX101" s="40">
        <f t="shared" si="62"/>
        <v>0</v>
      </c>
      <c r="AY101" s="43" t="s">
        <v>538</v>
      </c>
      <c r="AZ101" s="43" t="s">
        <v>563</v>
      </c>
      <c r="BA101" s="37" t="s">
        <v>568</v>
      </c>
      <c r="BC101" s="40">
        <f t="shared" si="63"/>
        <v>0</v>
      </c>
      <c r="BD101" s="40">
        <f t="shared" si="64"/>
        <v>0</v>
      </c>
      <c r="BE101" s="40">
        <v>0</v>
      </c>
      <c r="BF101" s="40">
        <f t="shared" si="65"/>
        <v>606</v>
      </c>
      <c r="BH101" s="26">
        <f t="shared" si="66"/>
        <v>0</v>
      </c>
      <c r="BI101" s="26">
        <f t="shared" si="67"/>
        <v>0</v>
      </c>
      <c r="BJ101" s="26">
        <f t="shared" si="68"/>
        <v>0</v>
      </c>
      <c r="BK101" s="26" t="s">
        <v>573</v>
      </c>
      <c r="BL101" s="40">
        <v>734</v>
      </c>
    </row>
    <row r="102" spans="1:64" x14ac:dyDescent="0.25">
      <c r="A102" s="4" t="s">
        <v>82</v>
      </c>
      <c r="B102" s="14" t="s">
        <v>229</v>
      </c>
      <c r="C102" s="135" t="s">
        <v>400</v>
      </c>
      <c r="D102" s="136"/>
      <c r="E102" s="136"/>
      <c r="F102" s="136"/>
      <c r="G102" s="14" t="s">
        <v>500</v>
      </c>
      <c r="H102" s="26">
        <v>6</v>
      </c>
      <c r="I102" s="26">
        <v>0</v>
      </c>
      <c r="J102" s="26">
        <f t="shared" si="46"/>
        <v>0</v>
      </c>
      <c r="K102" s="26">
        <f t="shared" si="47"/>
        <v>0</v>
      </c>
      <c r="L102" s="26">
        <f t="shared" si="48"/>
        <v>0</v>
      </c>
      <c r="M102" s="26">
        <v>0</v>
      </c>
      <c r="N102" s="49">
        <f>H102*102</f>
        <v>612</v>
      </c>
      <c r="O102" s="6"/>
      <c r="Z102" s="40">
        <f t="shared" si="49"/>
        <v>0</v>
      </c>
      <c r="AB102" s="40">
        <f t="shared" si="50"/>
        <v>0</v>
      </c>
      <c r="AC102" s="40">
        <f t="shared" si="51"/>
        <v>0</v>
      </c>
      <c r="AD102" s="40">
        <f t="shared" si="52"/>
        <v>0</v>
      </c>
      <c r="AE102" s="40">
        <f t="shared" si="53"/>
        <v>0</v>
      </c>
      <c r="AF102" s="40">
        <f t="shared" si="54"/>
        <v>0</v>
      </c>
      <c r="AG102" s="40">
        <f t="shared" si="55"/>
        <v>0</v>
      </c>
      <c r="AH102" s="40">
        <f t="shared" si="56"/>
        <v>0</v>
      </c>
      <c r="AI102" s="37"/>
      <c r="AJ102" s="26">
        <f t="shared" si="57"/>
        <v>0</v>
      </c>
      <c r="AK102" s="26">
        <f t="shared" si="58"/>
        <v>0</v>
      </c>
      <c r="AL102" s="26">
        <f t="shared" si="59"/>
        <v>0</v>
      </c>
      <c r="AN102" s="40">
        <v>21</v>
      </c>
      <c r="AO102" s="40">
        <f>I102*0.455991516436903</f>
        <v>0</v>
      </c>
      <c r="AP102" s="40">
        <f>I102*(1-0.455991516436903)</f>
        <v>0</v>
      </c>
      <c r="AQ102" s="41" t="s">
        <v>13</v>
      </c>
      <c r="AV102" s="40">
        <f t="shared" si="60"/>
        <v>0</v>
      </c>
      <c r="AW102" s="40">
        <f t="shared" si="61"/>
        <v>0</v>
      </c>
      <c r="AX102" s="40">
        <f t="shared" si="62"/>
        <v>0</v>
      </c>
      <c r="AY102" s="43" t="s">
        <v>538</v>
      </c>
      <c r="AZ102" s="43" t="s">
        <v>563</v>
      </c>
      <c r="BA102" s="37" t="s">
        <v>568</v>
      </c>
      <c r="BC102" s="40">
        <f t="shared" si="63"/>
        <v>0</v>
      </c>
      <c r="BD102" s="40">
        <f t="shared" si="64"/>
        <v>0</v>
      </c>
      <c r="BE102" s="40">
        <v>0</v>
      </c>
      <c r="BF102" s="40">
        <f t="shared" si="65"/>
        <v>612</v>
      </c>
      <c r="BH102" s="26">
        <f t="shared" si="66"/>
        <v>0</v>
      </c>
      <c r="BI102" s="26">
        <f t="shared" si="67"/>
        <v>0</v>
      </c>
      <c r="BJ102" s="26">
        <f t="shared" si="68"/>
        <v>0</v>
      </c>
      <c r="BK102" s="26" t="s">
        <v>573</v>
      </c>
      <c r="BL102" s="40">
        <v>734</v>
      </c>
    </row>
    <row r="103" spans="1:64" x14ac:dyDescent="0.25">
      <c r="A103" s="4" t="s">
        <v>83</v>
      </c>
      <c r="B103" s="14" t="s">
        <v>230</v>
      </c>
      <c r="C103" s="135" t="s">
        <v>401</v>
      </c>
      <c r="D103" s="136"/>
      <c r="E103" s="136"/>
      <c r="F103" s="136"/>
      <c r="G103" s="14" t="s">
        <v>500</v>
      </c>
      <c r="H103" s="26">
        <v>8</v>
      </c>
      <c r="I103" s="26">
        <v>0</v>
      </c>
      <c r="J103" s="26">
        <f t="shared" si="46"/>
        <v>0</v>
      </c>
      <c r="K103" s="26">
        <f t="shared" si="47"/>
        <v>0</v>
      </c>
      <c r="L103" s="26">
        <f t="shared" si="48"/>
        <v>0</v>
      </c>
      <c r="M103" s="26">
        <v>0</v>
      </c>
      <c r="N103" s="49">
        <f>H103*103</f>
        <v>824</v>
      </c>
      <c r="O103" s="6"/>
      <c r="Z103" s="40">
        <f t="shared" si="49"/>
        <v>0</v>
      </c>
      <c r="AB103" s="40">
        <f t="shared" si="50"/>
        <v>0</v>
      </c>
      <c r="AC103" s="40">
        <f t="shared" si="51"/>
        <v>0</v>
      </c>
      <c r="AD103" s="40">
        <f t="shared" si="52"/>
        <v>0</v>
      </c>
      <c r="AE103" s="40">
        <f t="shared" si="53"/>
        <v>0</v>
      </c>
      <c r="AF103" s="40">
        <f t="shared" si="54"/>
        <v>0</v>
      </c>
      <c r="AG103" s="40">
        <f t="shared" si="55"/>
        <v>0</v>
      </c>
      <c r="AH103" s="40">
        <f t="shared" si="56"/>
        <v>0</v>
      </c>
      <c r="AI103" s="37"/>
      <c r="AJ103" s="26">
        <f t="shared" si="57"/>
        <v>0</v>
      </c>
      <c r="AK103" s="26">
        <f t="shared" si="58"/>
        <v>0</v>
      </c>
      <c r="AL103" s="26">
        <f t="shared" si="59"/>
        <v>0</v>
      </c>
      <c r="AN103" s="40">
        <v>21</v>
      </c>
      <c r="AO103" s="40">
        <f>I103*0.516634050880626</f>
        <v>0</v>
      </c>
      <c r="AP103" s="40">
        <f>I103*(1-0.516634050880626)</f>
        <v>0</v>
      </c>
      <c r="AQ103" s="41" t="s">
        <v>13</v>
      </c>
      <c r="AV103" s="40">
        <f t="shared" si="60"/>
        <v>0</v>
      </c>
      <c r="AW103" s="40">
        <f t="shared" si="61"/>
        <v>0</v>
      </c>
      <c r="AX103" s="40">
        <f t="shared" si="62"/>
        <v>0</v>
      </c>
      <c r="AY103" s="43" t="s">
        <v>538</v>
      </c>
      <c r="AZ103" s="43" t="s">
        <v>563</v>
      </c>
      <c r="BA103" s="37" t="s">
        <v>568</v>
      </c>
      <c r="BC103" s="40">
        <f t="shared" si="63"/>
        <v>0</v>
      </c>
      <c r="BD103" s="40">
        <f t="shared" si="64"/>
        <v>0</v>
      </c>
      <c r="BE103" s="40">
        <v>0</v>
      </c>
      <c r="BF103" s="40">
        <f t="shared" si="65"/>
        <v>824</v>
      </c>
      <c r="BH103" s="26">
        <f t="shared" si="66"/>
        <v>0</v>
      </c>
      <c r="BI103" s="26">
        <f t="shared" si="67"/>
        <v>0</v>
      </c>
      <c r="BJ103" s="26">
        <f t="shared" si="68"/>
        <v>0</v>
      </c>
      <c r="BK103" s="26" t="s">
        <v>573</v>
      </c>
      <c r="BL103" s="40">
        <v>734</v>
      </c>
    </row>
    <row r="104" spans="1:64" x14ac:dyDescent="0.25">
      <c r="A104" s="4" t="s">
        <v>84</v>
      </c>
      <c r="B104" s="14" t="s">
        <v>230</v>
      </c>
      <c r="C104" s="135" t="s">
        <v>402</v>
      </c>
      <c r="D104" s="136"/>
      <c r="E104" s="136"/>
      <c r="F104" s="136"/>
      <c r="G104" s="14" t="s">
        <v>500</v>
      </c>
      <c r="H104" s="26">
        <v>4</v>
      </c>
      <c r="I104" s="26">
        <v>0</v>
      </c>
      <c r="J104" s="26">
        <f t="shared" si="46"/>
        <v>0</v>
      </c>
      <c r="K104" s="26">
        <f t="shared" si="47"/>
        <v>0</v>
      </c>
      <c r="L104" s="26">
        <f t="shared" si="48"/>
        <v>0</v>
      </c>
      <c r="M104" s="26">
        <v>0</v>
      </c>
      <c r="N104" s="49">
        <f>H104*104</f>
        <v>416</v>
      </c>
      <c r="O104" s="6"/>
      <c r="Z104" s="40">
        <f t="shared" si="49"/>
        <v>0</v>
      </c>
      <c r="AB104" s="40">
        <f t="shared" si="50"/>
        <v>0</v>
      </c>
      <c r="AC104" s="40">
        <f t="shared" si="51"/>
        <v>0</v>
      </c>
      <c r="AD104" s="40">
        <f t="shared" si="52"/>
        <v>0</v>
      </c>
      <c r="AE104" s="40">
        <f t="shared" si="53"/>
        <v>0</v>
      </c>
      <c r="AF104" s="40">
        <f t="shared" si="54"/>
        <v>0</v>
      </c>
      <c r="AG104" s="40">
        <f t="shared" si="55"/>
        <v>0</v>
      </c>
      <c r="AH104" s="40">
        <f t="shared" si="56"/>
        <v>0</v>
      </c>
      <c r="AI104" s="37"/>
      <c r="AJ104" s="26">
        <f t="shared" si="57"/>
        <v>0</v>
      </c>
      <c r="AK104" s="26">
        <f t="shared" si="58"/>
        <v>0</v>
      </c>
      <c r="AL104" s="26">
        <f t="shared" si="59"/>
        <v>0</v>
      </c>
      <c r="AN104" s="40">
        <v>21</v>
      </c>
      <c r="AO104" s="40">
        <f>I104*0.534839924670433</f>
        <v>0</v>
      </c>
      <c r="AP104" s="40">
        <f>I104*(1-0.534839924670433)</f>
        <v>0</v>
      </c>
      <c r="AQ104" s="41" t="s">
        <v>13</v>
      </c>
      <c r="AV104" s="40">
        <f t="shared" si="60"/>
        <v>0</v>
      </c>
      <c r="AW104" s="40">
        <f t="shared" si="61"/>
        <v>0</v>
      </c>
      <c r="AX104" s="40">
        <f t="shared" si="62"/>
        <v>0</v>
      </c>
      <c r="AY104" s="43" t="s">
        <v>538</v>
      </c>
      <c r="AZ104" s="43" t="s">
        <v>563</v>
      </c>
      <c r="BA104" s="37" t="s">
        <v>568</v>
      </c>
      <c r="BC104" s="40">
        <f t="shared" si="63"/>
        <v>0</v>
      </c>
      <c r="BD104" s="40">
        <f t="shared" si="64"/>
        <v>0</v>
      </c>
      <c r="BE104" s="40">
        <v>0</v>
      </c>
      <c r="BF104" s="40">
        <f t="shared" si="65"/>
        <v>416</v>
      </c>
      <c r="BH104" s="26">
        <f t="shared" si="66"/>
        <v>0</v>
      </c>
      <c r="BI104" s="26">
        <f t="shared" si="67"/>
        <v>0</v>
      </c>
      <c r="BJ104" s="26">
        <f t="shared" si="68"/>
        <v>0</v>
      </c>
      <c r="BK104" s="26" t="s">
        <v>573</v>
      </c>
      <c r="BL104" s="40">
        <v>734</v>
      </c>
    </row>
    <row r="105" spans="1:64" x14ac:dyDescent="0.25">
      <c r="A105" s="4" t="s">
        <v>85</v>
      </c>
      <c r="B105" s="14" t="s">
        <v>230</v>
      </c>
      <c r="C105" s="135" t="s">
        <v>403</v>
      </c>
      <c r="D105" s="136"/>
      <c r="E105" s="136"/>
      <c r="F105" s="136"/>
      <c r="G105" s="14" t="s">
        <v>500</v>
      </c>
      <c r="H105" s="26">
        <v>5</v>
      </c>
      <c r="I105" s="26">
        <v>0</v>
      </c>
      <c r="J105" s="26">
        <f t="shared" si="46"/>
        <v>0</v>
      </c>
      <c r="K105" s="26">
        <f t="shared" si="47"/>
        <v>0</v>
      </c>
      <c r="L105" s="26">
        <f t="shared" si="48"/>
        <v>0</v>
      </c>
      <c r="M105" s="26">
        <v>0</v>
      </c>
      <c r="N105" s="49">
        <f>H105*105</f>
        <v>525</v>
      </c>
      <c r="O105" s="6"/>
      <c r="Z105" s="40">
        <f t="shared" si="49"/>
        <v>0</v>
      </c>
      <c r="AB105" s="40">
        <f t="shared" si="50"/>
        <v>0</v>
      </c>
      <c r="AC105" s="40">
        <f t="shared" si="51"/>
        <v>0</v>
      </c>
      <c r="AD105" s="40">
        <f t="shared" si="52"/>
        <v>0</v>
      </c>
      <c r="AE105" s="40">
        <f t="shared" si="53"/>
        <v>0</v>
      </c>
      <c r="AF105" s="40">
        <f t="shared" si="54"/>
        <v>0</v>
      </c>
      <c r="AG105" s="40">
        <f t="shared" si="55"/>
        <v>0</v>
      </c>
      <c r="AH105" s="40">
        <f t="shared" si="56"/>
        <v>0</v>
      </c>
      <c r="AI105" s="37"/>
      <c r="AJ105" s="26">
        <f t="shared" si="57"/>
        <v>0</v>
      </c>
      <c r="AK105" s="26">
        <f t="shared" si="58"/>
        <v>0</v>
      </c>
      <c r="AL105" s="26">
        <f t="shared" si="59"/>
        <v>0</v>
      </c>
      <c r="AN105" s="40">
        <v>21</v>
      </c>
      <c r="AO105" s="40">
        <f>I105*0.516431924882629</f>
        <v>0</v>
      </c>
      <c r="AP105" s="40">
        <f>I105*(1-0.516431924882629)</f>
        <v>0</v>
      </c>
      <c r="AQ105" s="41" t="s">
        <v>13</v>
      </c>
      <c r="AV105" s="40">
        <f t="shared" si="60"/>
        <v>0</v>
      </c>
      <c r="AW105" s="40">
        <f t="shared" si="61"/>
        <v>0</v>
      </c>
      <c r="AX105" s="40">
        <f t="shared" si="62"/>
        <v>0</v>
      </c>
      <c r="AY105" s="43" t="s">
        <v>538</v>
      </c>
      <c r="AZ105" s="43" t="s">
        <v>563</v>
      </c>
      <c r="BA105" s="37" t="s">
        <v>568</v>
      </c>
      <c r="BC105" s="40">
        <f t="shared" si="63"/>
        <v>0</v>
      </c>
      <c r="BD105" s="40">
        <f t="shared" si="64"/>
        <v>0</v>
      </c>
      <c r="BE105" s="40">
        <v>0</v>
      </c>
      <c r="BF105" s="40">
        <f t="shared" si="65"/>
        <v>525</v>
      </c>
      <c r="BH105" s="26">
        <f t="shared" si="66"/>
        <v>0</v>
      </c>
      <c r="BI105" s="26">
        <f t="shared" si="67"/>
        <v>0</v>
      </c>
      <c r="BJ105" s="26">
        <f t="shared" si="68"/>
        <v>0</v>
      </c>
      <c r="BK105" s="26" t="s">
        <v>573</v>
      </c>
      <c r="BL105" s="40">
        <v>734</v>
      </c>
    </row>
    <row r="106" spans="1:64" x14ac:dyDescent="0.25">
      <c r="A106" s="4" t="s">
        <v>86</v>
      </c>
      <c r="B106" s="14" t="s">
        <v>230</v>
      </c>
      <c r="C106" s="135" t="s">
        <v>404</v>
      </c>
      <c r="D106" s="136"/>
      <c r="E106" s="136"/>
      <c r="F106" s="136"/>
      <c r="G106" s="14" t="s">
        <v>500</v>
      </c>
      <c r="H106" s="26">
        <v>7</v>
      </c>
      <c r="I106" s="26">
        <v>0</v>
      </c>
      <c r="J106" s="26">
        <f t="shared" si="46"/>
        <v>0</v>
      </c>
      <c r="K106" s="26">
        <f t="shared" si="47"/>
        <v>0</v>
      </c>
      <c r="L106" s="26">
        <f t="shared" si="48"/>
        <v>0</v>
      </c>
      <c r="M106" s="26">
        <v>0</v>
      </c>
      <c r="N106" s="49">
        <f>H106*106</f>
        <v>742</v>
      </c>
      <c r="O106" s="6"/>
      <c r="Z106" s="40">
        <f t="shared" si="49"/>
        <v>0</v>
      </c>
      <c r="AB106" s="40">
        <f t="shared" si="50"/>
        <v>0</v>
      </c>
      <c r="AC106" s="40">
        <f t="shared" si="51"/>
        <v>0</v>
      </c>
      <c r="AD106" s="40">
        <f t="shared" si="52"/>
        <v>0</v>
      </c>
      <c r="AE106" s="40">
        <f t="shared" si="53"/>
        <v>0</v>
      </c>
      <c r="AF106" s="40">
        <f t="shared" si="54"/>
        <v>0</v>
      </c>
      <c r="AG106" s="40">
        <f t="shared" si="55"/>
        <v>0</v>
      </c>
      <c r="AH106" s="40">
        <f t="shared" si="56"/>
        <v>0</v>
      </c>
      <c r="AI106" s="37"/>
      <c r="AJ106" s="26">
        <f t="shared" si="57"/>
        <v>0</v>
      </c>
      <c r="AK106" s="26">
        <f t="shared" si="58"/>
        <v>0</v>
      </c>
      <c r="AL106" s="26">
        <f t="shared" si="59"/>
        <v>0</v>
      </c>
      <c r="AN106" s="40">
        <v>21</v>
      </c>
      <c r="AO106" s="40">
        <f>I106*0.474124809741248</f>
        <v>0</v>
      </c>
      <c r="AP106" s="40">
        <f>I106*(1-0.474124809741248)</f>
        <v>0</v>
      </c>
      <c r="AQ106" s="41" t="s">
        <v>13</v>
      </c>
      <c r="AV106" s="40">
        <f t="shared" si="60"/>
        <v>0</v>
      </c>
      <c r="AW106" s="40">
        <f t="shared" si="61"/>
        <v>0</v>
      </c>
      <c r="AX106" s="40">
        <f t="shared" si="62"/>
        <v>0</v>
      </c>
      <c r="AY106" s="43" t="s">
        <v>538</v>
      </c>
      <c r="AZ106" s="43" t="s">
        <v>563</v>
      </c>
      <c r="BA106" s="37" t="s">
        <v>568</v>
      </c>
      <c r="BC106" s="40">
        <f t="shared" si="63"/>
        <v>0</v>
      </c>
      <c r="BD106" s="40">
        <f t="shared" si="64"/>
        <v>0</v>
      </c>
      <c r="BE106" s="40">
        <v>0</v>
      </c>
      <c r="BF106" s="40">
        <f t="shared" si="65"/>
        <v>742</v>
      </c>
      <c r="BH106" s="26">
        <f t="shared" si="66"/>
        <v>0</v>
      </c>
      <c r="BI106" s="26">
        <f t="shared" si="67"/>
        <v>0</v>
      </c>
      <c r="BJ106" s="26">
        <f t="shared" si="68"/>
        <v>0</v>
      </c>
      <c r="BK106" s="26" t="s">
        <v>573</v>
      </c>
      <c r="BL106" s="40">
        <v>734</v>
      </c>
    </row>
    <row r="107" spans="1:64" x14ac:dyDescent="0.25">
      <c r="A107" s="4" t="s">
        <v>87</v>
      </c>
      <c r="B107" s="14" t="s">
        <v>231</v>
      </c>
      <c r="C107" s="135" t="s">
        <v>405</v>
      </c>
      <c r="D107" s="136"/>
      <c r="E107" s="136"/>
      <c r="F107" s="136"/>
      <c r="G107" s="14" t="s">
        <v>500</v>
      </c>
      <c r="H107" s="26">
        <v>12</v>
      </c>
      <c r="I107" s="26">
        <v>0</v>
      </c>
      <c r="J107" s="26">
        <f t="shared" si="46"/>
        <v>0</v>
      </c>
      <c r="K107" s="26">
        <f t="shared" si="47"/>
        <v>0</v>
      </c>
      <c r="L107" s="26">
        <f t="shared" si="48"/>
        <v>0</v>
      </c>
      <c r="M107" s="26">
        <v>1E-3</v>
      </c>
      <c r="N107" s="49">
        <f>H107*107</f>
        <v>1284</v>
      </c>
      <c r="O107" s="6"/>
      <c r="Z107" s="40">
        <f t="shared" si="49"/>
        <v>0</v>
      </c>
      <c r="AB107" s="40">
        <f t="shared" si="50"/>
        <v>0</v>
      </c>
      <c r="AC107" s="40">
        <f t="shared" si="51"/>
        <v>0</v>
      </c>
      <c r="AD107" s="40">
        <f t="shared" si="52"/>
        <v>0</v>
      </c>
      <c r="AE107" s="40">
        <f t="shared" si="53"/>
        <v>0</v>
      </c>
      <c r="AF107" s="40">
        <f t="shared" si="54"/>
        <v>0</v>
      </c>
      <c r="AG107" s="40">
        <f t="shared" si="55"/>
        <v>0</v>
      </c>
      <c r="AH107" s="40">
        <f t="shared" si="56"/>
        <v>0</v>
      </c>
      <c r="AI107" s="37"/>
      <c r="AJ107" s="26">
        <f t="shared" si="57"/>
        <v>0</v>
      </c>
      <c r="AK107" s="26">
        <f t="shared" si="58"/>
        <v>0</v>
      </c>
      <c r="AL107" s="26">
        <f t="shared" si="59"/>
        <v>0</v>
      </c>
      <c r="AN107" s="40">
        <v>21</v>
      </c>
      <c r="AO107" s="40">
        <f>I107*0.417246175243394</f>
        <v>0</v>
      </c>
      <c r="AP107" s="40">
        <f>I107*(1-0.417246175243394)</f>
        <v>0</v>
      </c>
      <c r="AQ107" s="41" t="s">
        <v>13</v>
      </c>
      <c r="AV107" s="40">
        <f t="shared" si="60"/>
        <v>0</v>
      </c>
      <c r="AW107" s="40">
        <f t="shared" si="61"/>
        <v>0</v>
      </c>
      <c r="AX107" s="40">
        <f t="shared" si="62"/>
        <v>0</v>
      </c>
      <c r="AY107" s="43" t="s">
        <v>538</v>
      </c>
      <c r="AZ107" s="43" t="s">
        <v>563</v>
      </c>
      <c r="BA107" s="37" t="s">
        <v>568</v>
      </c>
      <c r="BC107" s="40">
        <f t="shared" si="63"/>
        <v>0</v>
      </c>
      <c r="BD107" s="40">
        <f t="shared" si="64"/>
        <v>0</v>
      </c>
      <c r="BE107" s="40">
        <v>0</v>
      </c>
      <c r="BF107" s="40">
        <f t="shared" si="65"/>
        <v>1284</v>
      </c>
      <c r="BH107" s="26">
        <f t="shared" si="66"/>
        <v>0</v>
      </c>
      <c r="BI107" s="26">
        <f t="shared" si="67"/>
        <v>0</v>
      </c>
      <c r="BJ107" s="26">
        <f t="shared" si="68"/>
        <v>0</v>
      </c>
      <c r="BK107" s="26" t="s">
        <v>573</v>
      </c>
      <c r="BL107" s="40">
        <v>734</v>
      </c>
    </row>
    <row r="108" spans="1:64" x14ac:dyDescent="0.25">
      <c r="A108" s="5"/>
      <c r="B108" s="15" t="s">
        <v>232</v>
      </c>
      <c r="C108" s="137" t="s">
        <v>406</v>
      </c>
      <c r="D108" s="138"/>
      <c r="E108" s="138"/>
      <c r="F108" s="138"/>
      <c r="G108" s="24" t="s">
        <v>6</v>
      </c>
      <c r="H108" s="24" t="s">
        <v>6</v>
      </c>
      <c r="I108" s="24" t="s">
        <v>6</v>
      </c>
      <c r="J108" s="46">
        <f>SUM(J109:J111)</f>
        <v>0</v>
      </c>
      <c r="K108" s="46">
        <f>SUM(K109:K111)</f>
        <v>0</v>
      </c>
      <c r="L108" s="46">
        <f>SUM(L109:L111)</f>
        <v>0</v>
      </c>
      <c r="M108" s="37"/>
      <c r="N108" s="50">
        <f>SUM(N109:N111)</f>
        <v>330</v>
      </c>
      <c r="O108" s="6"/>
      <c r="AI108" s="37"/>
      <c r="AS108" s="46">
        <f>SUM(AJ109:AJ111)</f>
        <v>0</v>
      </c>
      <c r="AT108" s="46">
        <f>SUM(AK109:AK111)</f>
        <v>0</v>
      </c>
      <c r="AU108" s="46">
        <f>SUM(AL109:AL111)</f>
        <v>0</v>
      </c>
    </row>
    <row r="109" spans="1:64" x14ac:dyDescent="0.25">
      <c r="A109" s="4" t="s">
        <v>88</v>
      </c>
      <c r="B109" s="14" t="s">
        <v>233</v>
      </c>
      <c r="C109" s="135" t="s">
        <v>407</v>
      </c>
      <c r="D109" s="136"/>
      <c r="E109" s="136"/>
      <c r="F109" s="136"/>
      <c r="G109" s="14" t="s">
        <v>500</v>
      </c>
      <c r="H109" s="26">
        <v>1</v>
      </c>
      <c r="I109" s="26">
        <v>0</v>
      </c>
      <c r="J109" s="26">
        <f>H109*AO109</f>
        <v>0</v>
      </c>
      <c r="K109" s="26">
        <f>H109*AP109</f>
        <v>0</v>
      </c>
      <c r="L109" s="26">
        <f>H109*I109</f>
        <v>0</v>
      </c>
      <c r="M109" s="26">
        <v>8.0000000000000002E-3</v>
      </c>
      <c r="N109" s="49">
        <f>H109*109</f>
        <v>109</v>
      </c>
      <c r="O109" s="6"/>
      <c r="Z109" s="40">
        <f>IF(AQ109="5",BJ109,0)</f>
        <v>0</v>
      </c>
      <c r="AB109" s="40">
        <f>IF(AQ109="1",BH109,0)</f>
        <v>0</v>
      </c>
      <c r="AC109" s="40">
        <f>IF(AQ109="1",BI109,0)</f>
        <v>0</v>
      </c>
      <c r="AD109" s="40">
        <f>IF(AQ109="7",BH109,0)</f>
        <v>0</v>
      </c>
      <c r="AE109" s="40">
        <f>IF(AQ109="7",BI109,0)</f>
        <v>0</v>
      </c>
      <c r="AF109" s="40">
        <f>IF(AQ109="2",BH109,0)</f>
        <v>0</v>
      </c>
      <c r="AG109" s="40">
        <f>IF(AQ109="2",BI109,0)</f>
        <v>0</v>
      </c>
      <c r="AH109" s="40">
        <f>IF(AQ109="0",BJ109,0)</f>
        <v>0</v>
      </c>
      <c r="AI109" s="37"/>
      <c r="AJ109" s="26">
        <f>IF(AN109=0,L109,0)</f>
        <v>0</v>
      </c>
      <c r="AK109" s="26">
        <f>IF(AN109=15,L109,0)</f>
        <v>0</v>
      </c>
      <c r="AL109" s="26">
        <f>IF(AN109=21,L109,0)</f>
        <v>0</v>
      </c>
      <c r="AN109" s="40">
        <v>21</v>
      </c>
      <c r="AO109" s="40">
        <f>I109*0.590405904059041</f>
        <v>0</v>
      </c>
      <c r="AP109" s="40">
        <f>I109*(1-0.590405904059041)</f>
        <v>0</v>
      </c>
      <c r="AQ109" s="41" t="s">
        <v>13</v>
      </c>
      <c r="AV109" s="40">
        <f>AW109+AX109</f>
        <v>0</v>
      </c>
      <c r="AW109" s="40">
        <f>H109*AO109</f>
        <v>0</v>
      </c>
      <c r="AX109" s="40">
        <f>H109*AP109</f>
        <v>0</v>
      </c>
      <c r="AY109" s="43" t="s">
        <v>539</v>
      </c>
      <c r="AZ109" s="43" t="s">
        <v>564</v>
      </c>
      <c r="BA109" s="37" t="s">
        <v>568</v>
      </c>
      <c r="BC109" s="40">
        <f>AW109+AX109</f>
        <v>0</v>
      </c>
      <c r="BD109" s="40">
        <f>I109/(100-BE109)*100</f>
        <v>0</v>
      </c>
      <c r="BE109" s="40">
        <v>0</v>
      </c>
      <c r="BF109" s="40">
        <f>N109</f>
        <v>109</v>
      </c>
      <c r="BH109" s="26">
        <f>H109*AO109</f>
        <v>0</v>
      </c>
      <c r="BI109" s="26">
        <f>H109*AP109</f>
        <v>0</v>
      </c>
      <c r="BJ109" s="26">
        <f>H109*I109</f>
        <v>0</v>
      </c>
      <c r="BK109" s="26" t="s">
        <v>573</v>
      </c>
      <c r="BL109" s="40">
        <v>767</v>
      </c>
    </row>
    <row r="110" spans="1:64" x14ac:dyDescent="0.25">
      <c r="A110" s="7" t="s">
        <v>89</v>
      </c>
      <c r="B110" s="16" t="s">
        <v>234</v>
      </c>
      <c r="C110" s="139" t="s">
        <v>408</v>
      </c>
      <c r="D110" s="140"/>
      <c r="E110" s="140"/>
      <c r="F110" s="140"/>
      <c r="G110" s="16" t="s">
        <v>500</v>
      </c>
      <c r="H110" s="28">
        <v>1</v>
      </c>
      <c r="I110" s="28">
        <v>0</v>
      </c>
      <c r="J110" s="28">
        <f>H110*AO110</f>
        <v>0</v>
      </c>
      <c r="K110" s="28">
        <f>H110*AP110</f>
        <v>0</v>
      </c>
      <c r="L110" s="28">
        <f>H110*I110</f>
        <v>0</v>
      </c>
      <c r="M110" s="28">
        <v>7.1000000000000004E-3</v>
      </c>
      <c r="N110" s="51">
        <f>H110*110</f>
        <v>110</v>
      </c>
      <c r="O110" s="6"/>
      <c r="Z110" s="40">
        <f>IF(AQ110="5",BJ110,0)</f>
        <v>0</v>
      </c>
      <c r="AB110" s="40">
        <f>IF(AQ110="1",BH110,0)</f>
        <v>0</v>
      </c>
      <c r="AC110" s="40">
        <f>IF(AQ110="1",BI110,0)</f>
        <v>0</v>
      </c>
      <c r="AD110" s="40">
        <f>IF(AQ110="7",BH110,0)</f>
        <v>0</v>
      </c>
      <c r="AE110" s="40">
        <f>IF(AQ110="7",BI110,0)</f>
        <v>0</v>
      </c>
      <c r="AF110" s="40">
        <f>IF(AQ110="2",BH110,0)</f>
        <v>0</v>
      </c>
      <c r="AG110" s="40">
        <f>IF(AQ110="2",BI110,0)</f>
        <v>0</v>
      </c>
      <c r="AH110" s="40">
        <f>IF(AQ110="0",BJ110,0)</f>
        <v>0</v>
      </c>
      <c r="AI110" s="37"/>
      <c r="AJ110" s="28">
        <f>IF(AN110=0,L110,0)</f>
        <v>0</v>
      </c>
      <c r="AK110" s="28">
        <f>IF(AN110=15,L110,0)</f>
        <v>0</v>
      </c>
      <c r="AL110" s="28">
        <f>IF(AN110=21,L110,0)</f>
        <v>0</v>
      </c>
      <c r="AN110" s="40">
        <v>21</v>
      </c>
      <c r="AO110" s="40">
        <f>I110*1</f>
        <v>0</v>
      </c>
      <c r="AP110" s="40">
        <f>I110*(1-1)</f>
        <v>0</v>
      </c>
      <c r="AQ110" s="42" t="s">
        <v>13</v>
      </c>
      <c r="AV110" s="40">
        <f>AW110+AX110</f>
        <v>0</v>
      </c>
      <c r="AW110" s="40">
        <f>H110*AO110</f>
        <v>0</v>
      </c>
      <c r="AX110" s="40">
        <f>H110*AP110</f>
        <v>0</v>
      </c>
      <c r="AY110" s="43" t="s">
        <v>539</v>
      </c>
      <c r="AZ110" s="43" t="s">
        <v>564</v>
      </c>
      <c r="BA110" s="37" t="s">
        <v>568</v>
      </c>
      <c r="BC110" s="40">
        <f>AW110+AX110</f>
        <v>0</v>
      </c>
      <c r="BD110" s="40">
        <f>I110/(100-BE110)*100</f>
        <v>0</v>
      </c>
      <c r="BE110" s="40">
        <v>0</v>
      </c>
      <c r="BF110" s="40">
        <f>N110</f>
        <v>110</v>
      </c>
      <c r="BH110" s="28">
        <f>H110*AO110</f>
        <v>0</v>
      </c>
      <c r="BI110" s="28">
        <f>H110*AP110</f>
        <v>0</v>
      </c>
      <c r="BJ110" s="28">
        <f>H110*I110</f>
        <v>0</v>
      </c>
      <c r="BK110" s="28" t="s">
        <v>574</v>
      </c>
      <c r="BL110" s="40">
        <v>767</v>
      </c>
    </row>
    <row r="111" spans="1:64" x14ac:dyDescent="0.25">
      <c r="A111" s="4" t="s">
        <v>90</v>
      </c>
      <c r="B111" s="14" t="s">
        <v>235</v>
      </c>
      <c r="C111" s="135" t="s">
        <v>409</v>
      </c>
      <c r="D111" s="136"/>
      <c r="E111" s="136"/>
      <c r="F111" s="136"/>
      <c r="G111" s="14" t="s">
        <v>500</v>
      </c>
      <c r="H111" s="26">
        <v>1</v>
      </c>
      <c r="I111" s="26">
        <v>0</v>
      </c>
      <c r="J111" s="26">
        <f>H111*AO111</f>
        <v>0</v>
      </c>
      <c r="K111" s="26">
        <f>H111*AP111</f>
        <v>0</v>
      </c>
      <c r="L111" s="26">
        <f>H111*I111</f>
        <v>0</v>
      </c>
      <c r="M111" s="26">
        <v>0</v>
      </c>
      <c r="N111" s="49">
        <f>H111*111</f>
        <v>111</v>
      </c>
      <c r="O111" s="6"/>
      <c r="Z111" s="40">
        <f>IF(AQ111="5",BJ111,0)</f>
        <v>0</v>
      </c>
      <c r="AB111" s="40">
        <f>IF(AQ111="1",BH111,0)</f>
        <v>0</v>
      </c>
      <c r="AC111" s="40">
        <f>IF(AQ111="1",BI111,0)</f>
        <v>0</v>
      </c>
      <c r="AD111" s="40">
        <f>IF(AQ111="7",BH111,0)</f>
        <v>0</v>
      </c>
      <c r="AE111" s="40">
        <f>IF(AQ111="7",BI111,0)</f>
        <v>0</v>
      </c>
      <c r="AF111" s="40">
        <f>IF(AQ111="2",BH111,0)</f>
        <v>0</v>
      </c>
      <c r="AG111" s="40">
        <f>IF(AQ111="2",BI111,0)</f>
        <v>0</v>
      </c>
      <c r="AH111" s="40">
        <f>IF(AQ111="0",BJ111,0)</f>
        <v>0</v>
      </c>
      <c r="AI111" s="37"/>
      <c r="AJ111" s="26">
        <f>IF(AN111=0,L111,0)</f>
        <v>0</v>
      </c>
      <c r="AK111" s="26">
        <f>IF(AN111=15,L111,0)</f>
        <v>0</v>
      </c>
      <c r="AL111" s="26">
        <f>IF(AN111=21,L111,0)</f>
        <v>0</v>
      </c>
      <c r="AN111" s="40">
        <v>21</v>
      </c>
      <c r="AO111" s="40">
        <f>I111*0.90313182811362</f>
        <v>0</v>
      </c>
      <c r="AP111" s="40">
        <f>I111*(1-0.90313182811362)</f>
        <v>0</v>
      </c>
      <c r="AQ111" s="41" t="s">
        <v>13</v>
      </c>
      <c r="AV111" s="40">
        <f>AW111+AX111</f>
        <v>0</v>
      </c>
      <c r="AW111" s="40">
        <f>H111*AO111</f>
        <v>0</v>
      </c>
      <c r="AX111" s="40">
        <f>H111*AP111</f>
        <v>0</v>
      </c>
      <c r="AY111" s="43" t="s">
        <v>539</v>
      </c>
      <c r="AZ111" s="43" t="s">
        <v>564</v>
      </c>
      <c r="BA111" s="37" t="s">
        <v>568</v>
      </c>
      <c r="BC111" s="40">
        <f>AW111+AX111</f>
        <v>0</v>
      </c>
      <c r="BD111" s="40">
        <f>I111/(100-BE111)*100</f>
        <v>0</v>
      </c>
      <c r="BE111" s="40">
        <v>0</v>
      </c>
      <c r="BF111" s="40">
        <f>N111</f>
        <v>111</v>
      </c>
      <c r="BH111" s="26">
        <f>H111*AO111</f>
        <v>0</v>
      </c>
      <c r="BI111" s="26">
        <f>H111*AP111</f>
        <v>0</v>
      </c>
      <c r="BJ111" s="26">
        <f>H111*I111</f>
        <v>0</v>
      </c>
      <c r="BK111" s="26" t="s">
        <v>573</v>
      </c>
      <c r="BL111" s="40">
        <v>767</v>
      </c>
    </row>
    <row r="112" spans="1:64" x14ac:dyDescent="0.25">
      <c r="A112" s="5"/>
      <c r="B112" s="15" t="s">
        <v>236</v>
      </c>
      <c r="C112" s="137" t="s">
        <v>410</v>
      </c>
      <c r="D112" s="138"/>
      <c r="E112" s="138"/>
      <c r="F112" s="138"/>
      <c r="G112" s="24" t="s">
        <v>6</v>
      </c>
      <c r="H112" s="24" t="s">
        <v>6</v>
      </c>
      <c r="I112" s="24" t="s">
        <v>6</v>
      </c>
      <c r="J112" s="46">
        <f>SUM(J113:J113)</f>
        <v>0</v>
      </c>
      <c r="K112" s="46">
        <f>SUM(K113:K113)</f>
        <v>0</v>
      </c>
      <c r="L112" s="46">
        <f>SUM(L113:L113)</f>
        <v>0</v>
      </c>
      <c r="M112" s="37"/>
      <c r="N112" s="50">
        <f>SUM(N113:N113)</f>
        <v>7910</v>
      </c>
      <c r="O112" s="6"/>
      <c r="AI112" s="37"/>
      <c r="AS112" s="46">
        <f>SUM(AJ113:AJ113)</f>
        <v>0</v>
      </c>
      <c r="AT112" s="46">
        <f>SUM(AK113:AK113)</f>
        <v>0</v>
      </c>
      <c r="AU112" s="46">
        <f>SUM(AL113:AL113)</f>
        <v>0</v>
      </c>
    </row>
    <row r="113" spans="1:64" x14ac:dyDescent="0.25">
      <c r="A113" s="4" t="s">
        <v>91</v>
      </c>
      <c r="B113" s="14" t="s">
        <v>237</v>
      </c>
      <c r="C113" s="135" t="s">
        <v>411</v>
      </c>
      <c r="D113" s="136"/>
      <c r="E113" s="136"/>
      <c r="F113" s="136"/>
      <c r="G113" s="14" t="s">
        <v>502</v>
      </c>
      <c r="H113" s="26">
        <v>70</v>
      </c>
      <c r="I113" s="26">
        <v>0</v>
      </c>
      <c r="J113" s="26">
        <f>H113*AO113</f>
        <v>0</v>
      </c>
      <c r="K113" s="26">
        <f>H113*AP113</f>
        <v>0</v>
      </c>
      <c r="L113" s="26">
        <f>H113*I113</f>
        <v>0</v>
      </c>
      <c r="M113" s="26">
        <v>6.9999999999999994E-5</v>
      </c>
      <c r="N113" s="49">
        <f>H113*113</f>
        <v>7910</v>
      </c>
      <c r="O113" s="6"/>
      <c r="Z113" s="40">
        <f>IF(AQ113="5",BJ113,0)</f>
        <v>0</v>
      </c>
      <c r="AB113" s="40">
        <f>IF(AQ113="1",BH113,0)</f>
        <v>0</v>
      </c>
      <c r="AC113" s="40">
        <f>IF(AQ113="1",BI113,0)</f>
        <v>0</v>
      </c>
      <c r="AD113" s="40">
        <f>IF(AQ113="7",BH113,0)</f>
        <v>0</v>
      </c>
      <c r="AE113" s="40">
        <f>IF(AQ113="7",BI113,0)</f>
        <v>0</v>
      </c>
      <c r="AF113" s="40">
        <f>IF(AQ113="2",BH113,0)</f>
        <v>0</v>
      </c>
      <c r="AG113" s="40">
        <f>IF(AQ113="2",BI113,0)</f>
        <v>0</v>
      </c>
      <c r="AH113" s="40">
        <f>IF(AQ113="0",BJ113,0)</f>
        <v>0</v>
      </c>
      <c r="AI113" s="37"/>
      <c r="AJ113" s="26">
        <f>IF(AN113=0,L113,0)</f>
        <v>0</v>
      </c>
      <c r="AK113" s="26">
        <f>IF(AN113=15,L113,0)</f>
        <v>0</v>
      </c>
      <c r="AL113" s="26">
        <f>IF(AN113=21,L113,0)</f>
        <v>0</v>
      </c>
      <c r="AN113" s="40">
        <v>21</v>
      </c>
      <c r="AO113" s="40">
        <f>I113*0.242842707982486</f>
        <v>0</v>
      </c>
      <c r="AP113" s="40">
        <f>I113*(1-0.242842707982486)</f>
        <v>0</v>
      </c>
      <c r="AQ113" s="41" t="s">
        <v>13</v>
      </c>
      <c r="AV113" s="40">
        <f>AW113+AX113</f>
        <v>0</v>
      </c>
      <c r="AW113" s="40">
        <f>H113*AO113</f>
        <v>0</v>
      </c>
      <c r="AX113" s="40">
        <f>H113*AP113</f>
        <v>0</v>
      </c>
      <c r="AY113" s="43" t="s">
        <v>540</v>
      </c>
      <c r="AZ113" s="43" t="s">
        <v>565</v>
      </c>
      <c r="BA113" s="37" t="s">
        <v>568</v>
      </c>
      <c r="BC113" s="40">
        <f>AW113+AX113</f>
        <v>0</v>
      </c>
      <c r="BD113" s="40">
        <f>I113/(100-BE113)*100</f>
        <v>0</v>
      </c>
      <c r="BE113" s="40">
        <v>0</v>
      </c>
      <c r="BF113" s="40">
        <f>N113</f>
        <v>7910</v>
      </c>
      <c r="BH113" s="26">
        <f>H113*AO113</f>
        <v>0</v>
      </c>
      <c r="BI113" s="26">
        <f>H113*AP113</f>
        <v>0</v>
      </c>
      <c r="BJ113" s="26">
        <f>H113*I113</f>
        <v>0</v>
      </c>
      <c r="BK113" s="26" t="s">
        <v>573</v>
      </c>
      <c r="BL113" s="40">
        <v>783</v>
      </c>
    </row>
    <row r="114" spans="1:64" x14ac:dyDescent="0.25">
      <c r="A114" s="5"/>
      <c r="B114" s="15" t="s">
        <v>238</v>
      </c>
      <c r="C114" s="137" t="s">
        <v>412</v>
      </c>
      <c r="D114" s="138"/>
      <c r="E114" s="138"/>
      <c r="F114" s="138"/>
      <c r="G114" s="24" t="s">
        <v>6</v>
      </c>
      <c r="H114" s="24" t="s">
        <v>6</v>
      </c>
      <c r="I114" s="24" t="s">
        <v>6</v>
      </c>
      <c r="J114" s="46">
        <f>SUM(J115:J118)</f>
        <v>0</v>
      </c>
      <c r="K114" s="46">
        <f>SUM(K115:K118)</f>
        <v>0</v>
      </c>
      <c r="L114" s="46">
        <f>SUM(L115:L118)</f>
        <v>0</v>
      </c>
      <c r="M114" s="37"/>
      <c r="N114" s="50">
        <f>SUM(N115:N118)</f>
        <v>19210.54</v>
      </c>
      <c r="O114" s="6"/>
      <c r="AI114" s="37"/>
      <c r="AS114" s="46">
        <f>SUM(AJ115:AJ118)</f>
        <v>0</v>
      </c>
      <c r="AT114" s="46">
        <f>SUM(AK115:AK118)</f>
        <v>0</v>
      </c>
      <c r="AU114" s="46">
        <f>SUM(AL115:AL118)</f>
        <v>0</v>
      </c>
    </row>
    <row r="115" spans="1:64" x14ac:dyDescent="0.25">
      <c r="A115" s="4" t="s">
        <v>92</v>
      </c>
      <c r="B115" s="14" t="s">
        <v>239</v>
      </c>
      <c r="C115" s="135" t="s">
        <v>413</v>
      </c>
      <c r="D115" s="136"/>
      <c r="E115" s="136"/>
      <c r="F115" s="136"/>
      <c r="G115" s="14" t="s">
        <v>501</v>
      </c>
      <c r="H115" s="26">
        <v>25</v>
      </c>
      <c r="I115" s="26">
        <v>0</v>
      </c>
      <c r="J115" s="26">
        <f>H115*AO115</f>
        <v>0</v>
      </c>
      <c r="K115" s="26">
        <f>H115*AP115</f>
        <v>0</v>
      </c>
      <c r="L115" s="26">
        <f>H115*I115</f>
        <v>0</v>
      </c>
      <c r="M115" s="26">
        <v>3.5E-4</v>
      </c>
      <c r="N115" s="49">
        <f>H115*115</f>
        <v>2875</v>
      </c>
      <c r="O115" s="6"/>
      <c r="Z115" s="40">
        <f>IF(AQ115="5",BJ115,0)</f>
        <v>0</v>
      </c>
      <c r="AB115" s="40">
        <f>IF(AQ115="1",BH115,0)</f>
        <v>0</v>
      </c>
      <c r="AC115" s="40">
        <f>IF(AQ115="1",BI115,0)</f>
        <v>0</v>
      </c>
      <c r="AD115" s="40">
        <f>IF(AQ115="7",BH115,0)</f>
        <v>0</v>
      </c>
      <c r="AE115" s="40">
        <f>IF(AQ115="7",BI115,0)</f>
        <v>0</v>
      </c>
      <c r="AF115" s="40">
        <f>IF(AQ115="2",BH115,0)</f>
        <v>0</v>
      </c>
      <c r="AG115" s="40">
        <f>IF(AQ115="2",BI115,0)</f>
        <v>0</v>
      </c>
      <c r="AH115" s="40">
        <f>IF(AQ115="0",BJ115,0)</f>
        <v>0</v>
      </c>
      <c r="AI115" s="37"/>
      <c r="AJ115" s="26">
        <f>IF(AN115=0,L115,0)</f>
        <v>0</v>
      </c>
      <c r="AK115" s="26">
        <f>IF(AN115=15,L115,0)</f>
        <v>0</v>
      </c>
      <c r="AL115" s="26">
        <f>IF(AN115=21,L115,0)</f>
        <v>0</v>
      </c>
      <c r="AN115" s="40">
        <v>21</v>
      </c>
      <c r="AO115" s="40">
        <f>I115*0.602597402597403</f>
        <v>0</v>
      </c>
      <c r="AP115" s="40">
        <f>I115*(1-0.602597402597403)</f>
        <v>0</v>
      </c>
      <c r="AQ115" s="41" t="s">
        <v>13</v>
      </c>
      <c r="AV115" s="40">
        <f>AW115+AX115</f>
        <v>0</v>
      </c>
      <c r="AW115" s="40">
        <f>H115*AO115</f>
        <v>0</v>
      </c>
      <c r="AX115" s="40">
        <f>H115*AP115</f>
        <v>0</v>
      </c>
      <c r="AY115" s="43" t="s">
        <v>541</v>
      </c>
      <c r="AZ115" s="43" t="s">
        <v>565</v>
      </c>
      <c r="BA115" s="37" t="s">
        <v>568</v>
      </c>
      <c r="BC115" s="40">
        <f>AW115+AX115</f>
        <v>0</v>
      </c>
      <c r="BD115" s="40">
        <f>I115/(100-BE115)*100</f>
        <v>0</v>
      </c>
      <c r="BE115" s="40">
        <v>0</v>
      </c>
      <c r="BF115" s="40">
        <f>N115</f>
        <v>2875</v>
      </c>
      <c r="BH115" s="26">
        <f>H115*AO115</f>
        <v>0</v>
      </c>
      <c r="BI115" s="26">
        <f>H115*AP115</f>
        <v>0</v>
      </c>
      <c r="BJ115" s="26">
        <f>H115*I115</f>
        <v>0</v>
      </c>
      <c r="BK115" s="26" t="s">
        <v>573</v>
      </c>
      <c r="BL115" s="40">
        <v>784</v>
      </c>
    </row>
    <row r="116" spans="1:64" x14ac:dyDescent="0.25">
      <c r="A116" s="4" t="s">
        <v>93</v>
      </c>
      <c r="B116" s="14" t="s">
        <v>240</v>
      </c>
      <c r="C116" s="135" t="s">
        <v>414</v>
      </c>
      <c r="D116" s="136"/>
      <c r="E116" s="136"/>
      <c r="F116" s="136"/>
      <c r="G116" s="14" t="s">
        <v>501</v>
      </c>
      <c r="H116" s="26">
        <v>69.81</v>
      </c>
      <c r="I116" s="26">
        <v>0</v>
      </c>
      <c r="J116" s="26">
        <f>H116*AO116</f>
        <v>0</v>
      </c>
      <c r="K116" s="26">
        <f>H116*AP116</f>
        <v>0</v>
      </c>
      <c r="L116" s="26">
        <f>H116*I116</f>
        <v>0</v>
      </c>
      <c r="M116" s="26">
        <v>2.2000000000000001E-4</v>
      </c>
      <c r="N116" s="49">
        <f>H116*116</f>
        <v>8097.96</v>
      </c>
      <c r="O116" s="6"/>
      <c r="Z116" s="40">
        <f>IF(AQ116="5",BJ116,0)</f>
        <v>0</v>
      </c>
      <c r="AB116" s="40">
        <f>IF(AQ116="1",BH116,0)</f>
        <v>0</v>
      </c>
      <c r="AC116" s="40">
        <f>IF(AQ116="1",BI116,0)</f>
        <v>0</v>
      </c>
      <c r="AD116" s="40">
        <f>IF(AQ116="7",BH116,0)</f>
        <v>0</v>
      </c>
      <c r="AE116" s="40">
        <f>IF(AQ116="7",BI116,0)</f>
        <v>0</v>
      </c>
      <c r="AF116" s="40">
        <f>IF(AQ116="2",BH116,0)</f>
        <v>0</v>
      </c>
      <c r="AG116" s="40">
        <f>IF(AQ116="2",BI116,0)</f>
        <v>0</v>
      </c>
      <c r="AH116" s="40">
        <f>IF(AQ116="0",BJ116,0)</f>
        <v>0</v>
      </c>
      <c r="AI116" s="37"/>
      <c r="AJ116" s="26">
        <f>IF(AN116=0,L116,0)</f>
        <v>0</v>
      </c>
      <c r="AK116" s="26">
        <f>IF(AN116=15,L116,0)</f>
        <v>0</v>
      </c>
      <c r="AL116" s="26">
        <f>IF(AN116=21,L116,0)</f>
        <v>0</v>
      </c>
      <c r="AN116" s="40">
        <v>21</v>
      </c>
      <c r="AO116" s="40">
        <f>I116*0.0553201744820066</f>
        <v>0</v>
      </c>
      <c r="AP116" s="40">
        <f>I116*(1-0.0553201744820066)</f>
        <v>0</v>
      </c>
      <c r="AQ116" s="41" t="s">
        <v>13</v>
      </c>
      <c r="AV116" s="40">
        <f>AW116+AX116</f>
        <v>0</v>
      </c>
      <c r="AW116" s="40">
        <f>H116*AO116</f>
        <v>0</v>
      </c>
      <c r="AX116" s="40">
        <f>H116*AP116</f>
        <v>0</v>
      </c>
      <c r="AY116" s="43" t="s">
        <v>541</v>
      </c>
      <c r="AZ116" s="43" t="s">
        <v>565</v>
      </c>
      <c r="BA116" s="37" t="s">
        <v>568</v>
      </c>
      <c r="BC116" s="40">
        <f>AW116+AX116</f>
        <v>0</v>
      </c>
      <c r="BD116" s="40">
        <f>I116/(100-BE116)*100</f>
        <v>0</v>
      </c>
      <c r="BE116" s="40">
        <v>0</v>
      </c>
      <c r="BF116" s="40">
        <f>N116</f>
        <v>8097.96</v>
      </c>
      <c r="BH116" s="26">
        <f>H116*AO116</f>
        <v>0</v>
      </c>
      <c r="BI116" s="26">
        <f>H116*AP116</f>
        <v>0</v>
      </c>
      <c r="BJ116" s="26">
        <f>H116*I116</f>
        <v>0</v>
      </c>
      <c r="BK116" s="26" t="s">
        <v>573</v>
      </c>
      <c r="BL116" s="40">
        <v>784</v>
      </c>
    </row>
    <row r="117" spans="1:64" x14ac:dyDescent="0.25">
      <c r="A117" s="6"/>
      <c r="C117" s="18" t="s">
        <v>415</v>
      </c>
      <c r="F117" s="21" t="s">
        <v>493</v>
      </c>
      <c r="H117" s="27">
        <v>69.81</v>
      </c>
      <c r="N117" s="38"/>
      <c r="O117" s="6"/>
    </row>
    <row r="118" spans="1:64" x14ac:dyDescent="0.25">
      <c r="A118" s="4" t="s">
        <v>94</v>
      </c>
      <c r="B118" s="14" t="s">
        <v>241</v>
      </c>
      <c r="C118" s="135" t="s">
        <v>416</v>
      </c>
      <c r="D118" s="136"/>
      <c r="E118" s="136"/>
      <c r="F118" s="136"/>
      <c r="G118" s="14" t="s">
        <v>501</v>
      </c>
      <c r="H118" s="26">
        <v>69.81</v>
      </c>
      <c r="I118" s="26">
        <v>0</v>
      </c>
      <c r="J118" s="26">
        <f>H118*AO118</f>
        <v>0</v>
      </c>
      <c r="K118" s="26">
        <f>H118*AP118</f>
        <v>0</v>
      </c>
      <c r="L118" s="26">
        <f>H118*I118</f>
        <v>0</v>
      </c>
      <c r="M118" s="26">
        <v>0</v>
      </c>
      <c r="N118" s="49">
        <f>H118*118</f>
        <v>8237.58</v>
      </c>
      <c r="O118" s="6"/>
      <c r="Z118" s="40">
        <f>IF(AQ118="5",BJ118,0)</f>
        <v>0</v>
      </c>
      <c r="AB118" s="40">
        <f>IF(AQ118="1",BH118,0)</f>
        <v>0</v>
      </c>
      <c r="AC118" s="40">
        <f>IF(AQ118="1",BI118,0)</f>
        <v>0</v>
      </c>
      <c r="AD118" s="40">
        <f>IF(AQ118="7",BH118,0)</f>
        <v>0</v>
      </c>
      <c r="AE118" s="40">
        <f>IF(AQ118="7",BI118,0)</f>
        <v>0</v>
      </c>
      <c r="AF118" s="40">
        <f>IF(AQ118="2",BH118,0)</f>
        <v>0</v>
      </c>
      <c r="AG118" s="40">
        <f>IF(AQ118="2",BI118,0)</f>
        <v>0</v>
      </c>
      <c r="AH118" s="40">
        <f>IF(AQ118="0",BJ118,0)</f>
        <v>0</v>
      </c>
      <c r="AI118" s="37"/>
      <c r="AJ118" s="26">
        <f>IF(AN118=0,L118,0)</f>
        <v>0</v>
      </c>
      <c r="AK118" s="26">
        <f>IF(AN118=15,L118,0)</f>
        <v>0</v>
      </c>
      <c r="AL118" s="26">
        <f>IF(AN118=21,L118,0)</f>
        <v>0</v>
      </c>
      <c r="AN118" s="40">
        <v>21</v>
      </c>
      <c r="AO118" s="40">
        <f>I118*0.00441524947294448</f>
        <v>0</v>
      </c>
      <c r="AP118" s="40">
        <f>I118*(1-0.00441524947294448)</f>
        <v>0</v>
      </c>
      <c r="AQ118" s="41" t="s">
        <v>13</v>
      </c>
      <c r="AV118" s="40">
        <f>AW118+AX118</f>
        <v>0</v>
      </c>
      <c r="AW118" s="40">
        <f>H118*AO118</f>
        <v>0</v>
      </c>
      <c r="AX118" s="40">
        <f>H118*AP118</f>
        <v>0</v>
      </c>
      <c r="AY118" s="43" t="s">
        <v>541</v>
      </c>
      <c r="AZ118" s="43" t="s">
        <v>565</v>
      </c>
      <c r="BA118" s="37" t="s">
        <v>568</v>
      </c>
      <c r="BC118" s="40">
        <f>AW118+AX118</f>
        <v>0</v>
      </c>
      <c r="BD118" s="40">
        <f>I118/(100-BE118)*100</f>
        <v>0</v>
      </c>
      <c r="BE118" s="40">
        <v>0</v>
      </c>
      <c r="BF118" s="40">
        <f>N118</f>
        <v>8237.58</v>
      </c>
      <c r="BH118" s="26">
        <f>H118*AO118</f>
        <v>0</v>
      </c>
      <c r="BI118" s="26">
        <f>H118*AP118</f>
        <v>0</v>
      </c>
      <c r="BJ118" s="26">
        <f>H118*I118</f>
        <v>0</v>
      </c>
      <c r="BK118" s="26" t="s">
        <v>573</v>
      </c>
      <c r="BL118" s="40">
        <v>784</v>
      </c>
    </row>
    <row r="119" spans="1:64" x14ac:dyDescent="0.25">
      <c r="A119" s="5"/>
      <c r="B119" s="15" t="s">
        <v>242</v>
      </c>
      <c r="C119" s="137" t="s">
        <v>417</v>
      </c>
      <c r="D119" s="138"/>
      <c r="E119" s="138"/>
      <c r="F119" s="138"/>
      <c r="G119" s="24" t="s">
        <v>6</v>
      </c>
      <c r="H119" s="24" t="s">
        <v>6</v>
      </c>
      <c r="I119" s="24" t="s">
        <v>6</v>
      </c>
      <c r="J119" s="46">
        <f>SUM(J120:J121)</f>
        <v>0</v>
      </c>
      <c r="K119" s="46">
        <f>SUM(K120:K121)</f>
        <v>0</v>
      </c>
      <c r="L119" s="46">
        <f>SUM(L120:L121)</f>
        <v>0</v>
      </c>
      <c r="M119" s="37"/>
      <c r="N119" s="50">
        <f>SUM(N120:N121)</f>
        <v>241</v>
      </c>
      <c r="O119" s="6"/>
      <c r="AI119" s="37"/>
      <c r="AS119" s="46">
        <f>SUM(AJ120:AJ121)</f>
        <v>0</v>
      </c>
      <c r="AT119" s="46">
        <f>SUM(AK120:AK121)</f>
        <v>0</v>
      </c>
      <c r="AU119" s="46">
        <f>SUM(AL120:AL121)</f>
        <v>0</v>
      </c>
    </row>
    <row r="120" spans="1:64" x14ac:dyDescent="0.25">
      <c r="A120" s="4" t="s">
        <v>95</v>
      </c>
      <c r="B120" s="14" t="s">
        <v>243</v>
      </c>
      <c r="C120" s="135" t="s">
        <v>418</v>
      </c>
      <c r="D120" s="136"/>
      <c r="E120" s="136"/>
      <c r="F120" s="136"/>
      <c r="G120" s="14" t="s">
        <v>500</v>
      </c>
      <c r="H120" s="26">
        <v>1</v>
      </c>
      <c r="I120" s="26">
        <v>0</v>
      </c>
      <c r="J120" s="26">
        <f>H120*AO120</f>
        <v>0</v>
      </c>
      <c r="K120" s="26">
        <f>H120*AP120</f>
        <v>0</v>
      </c>
      <c r="L120" s="26">
        <f>H120*I120</f>
        <v>0</v>
      </c>
      <c r="M120" s="26">
        <v>1.6E-2</v>
      </c>
      <c r="N120" s="49">
        <f>H120*120</f>
        <v>120</v>
      </c>
      <c r="O120" s="6"/>
      <c r="Z120" s="40">
        <f>IF(AQ120="5",BJ120,0)</f>
        <v>0</v>
      </c>
      <c r="AB120" s="40">
        <f>IF(AQ120="1",BH120,0)</f>
        <v>0</v>
      </c>
      <c r="AC120" s="40">
        <f>IF(AQ120="1",BI120,0)</f>
        <v>0</v>
      </c>
      <c r="AD120" s="40">
        <f>IF(AQ120="7",BH120,0)</f>
        <v>0</v>
      </c>
      <c r="AE120" s="40">
        <f>IF(AQ120="7",BI120,0)</f>
        <v>0</v>
      </c>
      <c r="AF120" s="40">
        <f>IF(AQ120="2",BH120,0)</f>
        <v>0</v>
      </c>
      <c r="AG120" s="40">
        <f>IF(AQ120="2",BI120,0)</f>
        <v>0</v>
      </c>
      <c r="AH120" s="40">
        <f>IF(AQ120="0",BJ120,0)</f>
        <v>0</v>
      </c>
      <c r="AI120" s="37"/>
      <c r="AJ120" s="26">
        <f>IF(AN120=0,L120,0)</f>
        <v>0</v>
      </c>
      <c r="AK120" s="26">
        <f>IF(AN120=15,L120,0)</f>
        <v>0</v>
      </c>
      <c r="AL120" s="26">
        <f>IF(AN120=21,L120,0)</f>
        <v>0</v>
      </c>
      <c r="AN120" s="40">
        <v>21</v>
      </c>
      <c r="AO120" s="40">
        <f>I120*0.761788617886179</f>
        <v>0</v>
      </c>
      <c r="AP120" s="40">
        <f>I120*(1-0.761788617886179)</f>
        <v>0</v>
      </c>
      <c r="AQ120" s="41" t="s">
        <v>13</v>
      </c>
      <c r="AV120" s="40">
        <f>AW120+AX120</f>
        <v>0</v>
      </c>
      <c r="AW120" s="40">
        <f>H120*AO120</f>
        <v>0</v>
      </c>
      <c r="AX120" s="40">
        <f>H120*AP120</f>
        <v>0</v>
      </c>
      <c r="AY120" s="43" t="s">
        <v>542</v>
      </c>
      <c r="AZ120" s="43" t="s">
        <v>566</v>
      </c>
      <c r="BA120" s="37" t="s">
        <v>568</v>
      </c>
      <c r="BC120" s="40">
        <f>AW120+AX120</f>
        <v>0</v>
      </c>
      <c r="BD120" s="40">
        <f>I120/(100-BE120)*100</f>
        <v>0</v>
      </c>
      <c r="BE120" s="40">
        <v>0</v>
      </c>
      <c r="BF120" s="40">
        <f>N120</f>
        <v>120</v>
      </c>
      <c r="BH120" s="26">
        <f>H120*AO120</f>
        <v>0</v>
      </c>
      <c r="BI120" s="26">
        <f>H120*AP120</f>
        <v>0</v>
      </c>
      <c r="BJ120" s="26">
        <f>H120*I120</f>
        <v>0</v>
      </c>
      <c r="BK120" s="26" t="s">
        <v>573</v>
      </c>
      <c r="BL120" s="40">
        <v>795</v>
      </c>
    </row>
    <row r="121" spans="1:64" x14ac:dyDescent="0.25">
      <c r="A121" s="4" t="s">
        <v>96</v>
      </c>
      <c r="B121" s="14" t="s">
        <v>243</v>
      </c>
      <c r="C121" s="135" t="s">
        <v>419</v>
      </c>
      <c r="D121" s="136"/>
      <c r="E121" s="136"/>
      <c r="F121" s="136"/>
      <c r="G121" s="14" t="s">
        <v>500</v>
      </c>
      <c r="H121" s="26">
        <v>1</v>
      </c>
      <c r="I121" s="26">
        <v>0</v>
      </c>
      <c r="J121" s="26">
        <f>H121*AO121</f>
        <v>0</v>
      </c>
      <c r="K121" s="26">
        <f>H121*AP121</f>
        <v>0</v>
      </c>
      <c r="L121" s="26">
        <f>H121*I121</f>
        <v>0</v>
      </c>
      <c r="M121" s="26">
        <v>1.6E-2</v>
      </c>
      <c r="N121" s="49">
        <f>H121*121</f>
        <v>121</v>
      </c>
      <c r="O121" s="6"/>
      <c r="Z121" s="40">
        <f>IF(AQ121="5",BJ121,0)</f>
        <v>0</v>
      </c>
      <c r="AB121" s="40">
        <f>IF(AQ121="1",BH121,0)</f>
        <v>0</v>
      </c>
      <c r="AC121" s="40">
        <f>IF(AQ121="1",BI121,0)</f>
        <v>0</v>
      </c>
      <c r="AD121" s="40">
        <f>IF(AQ121="7",BH121,0)</f>
        <v>0</v>
      </c>
      <c r="AE121" s="40">
        <f>IF(AQ121="7",BI121,0)</f>
        <v>0</v>
      </c>
      <c r="AF121" s="40">
        <f>IF(AQ121="2",BH121,0)</f>
        <v>0</v>
      </c>
      <c r="AG121" s="40">
        <f>IF(AQ121="2",BI121,0)</f>
        <v>0</v>
      </c>
      <c r="AH121" s="40">
        <f>IF(AQ121="0",BJ121,0)</f>
        <v>0</v>
      </c>
      <c r="AI121" s="37"/>
      <c r="AJ121" s="26">
        <f>IF(AN121=0,L121,0)</f>
        <v>0</v>
      </c>
      <c r="AK121" s="26">
        <f>IF(AN121=15,L121,0)</f>
        <v>0</v>
      </c>
      <c r="AL121" s="26">
        <f>IF(AN121=21,L121,0)</f>
        <v>0</v>
      </c>
      <c r="AN121" s="40">
        <v>21</v>
      </c>
      <c r="AO121" s="40">
        <f>I121*0.769835035349568</f>
        <v>0</v>
      </c>
      <c r="AP121" s="40">
        <f>I121*(1-0.769835035349568)</f>
        <v>0</v>
      </c>
      <c r="AQ121" s="41" t="s">
        <v>13</v>
      </c>
      <c r="AV121" s="40">
        <f>AW121+AX121</f>
        <v>0</v>
      </c>
      <c r="AW121" s="40">
        <f>H121*AO121</f>
        <v>0</v>
      </c>
      <c r="AX121" s="40">
        <f>H121*AP121</f>
        <v>0</v>
      </c>
      <c r="AY121" s="43" t="s">
        <v>542</v>
      </c>
      <c r="AZ121" s="43" t="s">
        <v>566</v>
      </c>
      <c r="BA121" s="37" t="s">
        <v>568</v>
      </c>
      <c r="BC121" s="40">
        <f>AW121+AX121</f>
        <v>0</v>
      </c>
      <c r="BD121" s="40">
        <f>I121/(100-BE121)*100</f>
        <v>0</v>
      </c>
      <c r="BE121" s="40">
        <v>0</v>
      </c>
      <c r="BF121" s="40">
        <f>N121</f>
        <v>121</v>
      </c>
      <c r="BH121" s="26">
        <f>H121*AO121</f>
        <v>0</v>
      </c>
      <c r="BI121" s="26">
        <f>H121*AP121</f>
        <v>0</v>
      </c>
      <c r="BJ121" s="26">
        <f>H121*I121</f>
        <v>0</v>
      </c>
      <c r="BK121" s="26" t="s">
        <v>573</v>
      </c>
      <c r="BL121" s="40">
        <v>795</v>
      </c>
    </row>
    <row r="122" spans="1:64" x14ac:dyDescent="0.25">
      <c r="A122" s="5"/>
      <c r="B122" s="15" t="s">
        <v>102</v>
      </c>
      <c r="C122" s="137" t="s">
        <v>420</v>
      </c>
      <c r="D122" s="138"/>
      <c r="E122" s="138"/>
      <c r="F122" s="138"/>
      <c r="G122" s="24" t="s">
        <v>6</v>
      </c>
      <c r="H122" s="24" t="s">
        <v>6</v>
      </c>
      <c r="I122" s="24" t="s">
        <v>6</v>
      </c>
      <c r="J122" s="46">
        <f>SUM(J123:J123)</f>
        <v>0</v>
      </c>
      <c r="K122" s="46">
        <f>SUM(K123:K123)</f>
        <v>0</v>
      </c>
      <c r="L122" s="46">
        <f>SUM(L123:L123)</f>
        <v>0</v>
      </c>
      <c r="M122" s="37"/>
      <c r="N122" s="50">
        <f>SUM(N123:N123)</f>
        <v>22.14</v>
      </c>
      <c r="O122" s="6"/>
      <c r="AI122" s="37"/>
      <c r="AS122" s="46">
        <f>SUM(AJ123:AJ123)</f>
        <v>0</v>
      </c>
      <c r="AT122" s="46">
        <f>SUM(AK123:AK123)</f>
        <v>0</v>
      </c>
      <c r="AU122" s="46">
        <f>SUM(AL123:AL123)</f>
        <v>0</v>
      </c>
    </row>
    <row r="123" spans="1:64" x14ac:dyDescent="0.25">
      <c r="A123" s="4" t="s">
        <v>97</v>
      </c>
      <c r="B123" s="14" t="s">
        <v>244</v>
      </c>
      <c r="C123" s="135" t="s">
        <v>421</v>
      </c>
      <c r="D123" s="136"/>
      <c r="E123" s="136"/>
      <c r="F123" s="136"/>
      <c r="G123" s="14" t="s">
        <v>505</v>
      </c>
      <c r="H123" s="26">
        <v>0.18</v>
      </c>
      <c r="I123" s="26">
        <v>0</v>
      </c>
      <c r="J123" s="26">
        <f>H123*AO123</f>
        <v>0</v>
      </c>
      <c r="K123" s="26">
        <f>H123*AP123</f>
        <v>0</v>
      </c>
      <c r="L123" s="26">
        <f>H123*I123</f>
        <v>0</v>
      </c>
      <c r="M123" s="26">
        <v>0</v>
      </c>
      <c r="N123" s="49">
        <f>H123*123</f>
        <v>22.14</v>
      </c>
      <c r="O123" s="6"/>
      <c r="Z123" s="40">
        <f>IF(AQ123="5",BJ123,0)</f>
        <v>0</v>
      </c>
      <c r="AB123" s="40">
        <f>IF(AQ123="1",BH123,0)</f>
        <v>0</v>
      </c>
      <c r="AC123" s="40">
        <f>IF(AQ123="1",BI123,0)</f>
        <v>0</v>
      </c>
      <c r="AD123" s="40">
        <f>IF(AQ123="7",BH123,0)</f>
        <v>0</v>
      </c>
      <c r="AE123" s="40">
        <f>IF(AQ123="7",BI123,0)</f>
        <v>0</v>
      </c>
      <c r="AF123" s="40">
        <f>IF(AQ123="2",BH123,0)</f>
        <v>0</v>
      </c>
      <c r="AG123" s="40">
        <f>IF(AQ123="2",BI123,0)</f>
        <v>0</v>
      </c>
      <c r="AH123" s="40">
        <f>IF(AQ123="0",BJ123,0)</f>
        <v>0</v>
      </c>
      <c r="AI123" s="37"/>
      <c r="AJ123" s="26">
        <f>IF(AN123=0,L123,0)</f>
        <v>0</v>
      </c>
      <c r="AK123" s="26">
        <f>IF(AN123=15,L123,0)</f>
        <v>0</v>
      </c>
      <c r="AL123" s="26">
        <f>IF(AN123=21,L123,0)</f>
        <v>0</v>
      </c>
      <c r="AN123" s="40">
        <v>21</v>
      </c>
      <c r="AO123" s="40">
        <f>I123*0</f>
        <v>0</v>
      </c>
      <c r="AP123" s="40">
        <f>I123*(1-0)</f>
        <v>0</v>
      </c>
      <c r="AQ123" s="41" t="s">
        <v>7</v>
      </c>
      <c r="AV123" s="40">
        <f>AW123+AX123</f>
        <v>0</v>
      </c>
      <c r="AW123" s="40">
        <f>H123*AO123</f>
        <v>0</v>
      </c>
      <c r="AX123" s="40">
        <f>H123*AP123</f>
        <v>0</v>
      </c>
      <c r="AY123" s="43" t="s">
        <v>543</v>
      </c>
      <c r="AZ123" s="43" t="s">
        <v>567</v>
      </c>
      <c r="BA123" s="37" t="s">
        <v>568</v>
      </c>
      <c r="BC123" s="40">
        <f>AW123+AX123</f>
        <v>0</v>
      </c>
      <c r="BD123" s="40">
        <f>I123/(100-BE123)*100</f>
        <v>0</v>
      </c>
      <c r="BE123" s="40">
        <v>0</v>
      </c>
      <c r="BF123" s="40">
        <f>N123</f>
        <v>22.14</v>
      </c>
      <c r="BH123" s="26">
        <f>H123*AO123</f>
        <v>0</v>
      </c>
      <c r="BI123" s="26">
        <f>H123*AP123</f>
        <v>0</v>
      </c>
      <c r="BJ123" s="26">
        <f>H123*I123</f>
        <v>0</v>
      </c>
      <c r="BK123" s="26" t="s">
        <v>573</v>
      </c>
      <c r="BL123" s="40">
        <v>96</v>
      </c>
    </row>
    <row r="124" spans="1:64" x14ac:dyDescent="0.25">
      <c r="A124" s="6"/>
      <c r="C124" s="18" t="s">
        <v>422</v>
      </c>
      <c r="F124" s="21"/>
      <c r="H124" s="27">
        <v>0.18</v>
      </c>
      <c r="N124" s="38"/>
      <c r="O124" s="6"/>
    </row>
    <row r="125" spans="1:64" x14ac:dyDescent="0.25">
      <c r="A125" s="5"/>
      <c r="B125" s="15" t="s">
        <v>103</v>
      </c>
      <c r="C125" s="137" t="s">
        <v>423</v>
      </c>
      <c r="D125" s="138"/>
      <c r="E125" s="138"/>
      <c r="F125" s="138"/>
      <c r="G125" s="24" t="s">
        <v>6</v>
      </c>
      <c r="H125" s="24" t="s">
        <v>6</v>
      </c>
      <c r="I125" s="24" t="s">
        <v>6</v>
      </c>
      <c r="J125" s="46">
        <f>SUM(J126:J127)</f>
        <v>0</v>
      </c>
      <c r="K125" s="46">
        <f>SUM(K126:K127)</f>
        <v>0</v>
      </c>
      <c r="L125" s="46">
        <f>SUM(L126:L127)</f>
        <v>0</v>
      </c>
      <c r="M125" s="37"/>
      <c r="N125" s="50">
        <f>SUM(N126:N127)</f>
        <v>1142</v>
      </c>
      <c r="O125" s="6"/>
      <c r="AI125" s="37"/>
      <c r="AS125" s="46">
        <f>SUM(AJ126:AJ127)</f>
        <v>0</v>
      </c>
      <c r="AT125" s="46">
        <f>SUM(AK126:AK127)</f>
        <v>0</v>
      </c>
      <c r="AU125" s="46">
        <f>SUM(AL126:AL127)</f>
        <v>0</v>
      </c>
    </row>
    <row r="126" spans="1:64" x14ac:dyDescent="0.25">
      <c r="A126" s="4" t="s">
        <v>98</v>
      </c>
      <c r="B126" s="14" t="s">
        <v>245</v>
      </c>
      <c r="C126" s="135" t="s">
        <v>424</v>
      </c>
      <c r="D126" s="136"/>
      <c r="E126" s="136"/>
      <c r="F126" s="136"/>
      <c r="G126" s="14" t="s">
        <v>500</v>
      </c>
      <c r="H126" s="26">
        <v>1</v>
      </c>
      <c r="I126" s="26">
        <v>0</v>
      </c>
      <c r="J126" s="26">
        <f>H126*AO126</f>
        <v>0</v>
      </c>
      <c r="K126" s="26">
        <f>H126*AP126</f>
        <v>0</v>
      </c>
      <c r="L126" s="26">
        <f>H126*I126</f>
        <v>0</v>
      </c>
      <c r="M126" s="26">
        <v>1.33E-3</v>
      </c>
      <c r="N126" s="49">
        <f>H126*126</f>
        <v>126</v>
      </c>
      <c r="O126" s="6"/>
      <c r="Z126" s="40">
        <f>IF(AQ126="5",BJ126,0)</f>
        <v>0</v>
      </c>
      <c r="AB126" s="40">
        <f>IF(AQ126="1",BH126,0)</f>
        <v>0</v>
      </c>
      <c r="AC126" s="40">
        <f>IF(AQ126="1",BI126,0)</f>
        <v>0</v>
      </c>
      <c r="AD126" s="40">
        <f>IF(AQ126="7",BH126,0)</f>
        <v>0</v>
      </c>
      <c r="AE126" s="40">
        <f>IF(AQ126="7",BI126,0)</f>
        <v>0</v>
      </c>
      <c r="AF126" s="40">
        <f>IF(AQ126="2",BH126,0)</f>
        <v>0</v>
      </c>
      <c r="AG126" s="40">
        <f>IF(AQ126="2",BI126,0)</f>
        <v>0</v>
      </c>
      <c r="AH126" s="40">
        <f>IF(AQ126="0",BJ126,0)</f>
        <v>0</v>
      </c>
      <c r="AI126" s="37"/>
      <c r="AJ126" s="26">
        <f>IF(AN126=0,L126,0)</f>
        <v>0</v>
      </c>
      <c r="AK126" s="26">
        <f>IF(AN126=15,L126,0)</f>
        <v>0</v>
      </c>
      <c r="AL126" s="26">
        <f>IF(AN126=21,L126,0)</f>
        <v>0</v>
      </c>
      <c r="AN126" s="40">
        <v>21</v>
      </c>
      <c r="AO126" s="40">
        <f>I126*0.0552346570397112</f>
        <v>0</v>
      </c>
      <c r="AP126" s="40">
        <f>I126*(1-0.0552346570397112)</f>
        <v>0</v>
      </c>
      <c r="AQ126" s="41" t="s">
        <v>7</v>
      </c>
      <c r="AV126" s="40">
        <f>AW126+AX126</f>
        <v>0</v>
      </c>
      <c r="AW126" s="40">
        <f>H126*AO126</f>
        <v>0</v>
      </c>
      <c r="AX126" s="40">
        <f>H126*AP126</f>
        <v>0</v>
      </c>
      <c r="AY126" s="43" t="s">
        <v>544</v>
      </c>
      <c r="AZ126" s="43" t="s">
        <v>567</v>
      </c>
      <c r="BA126" s="37" t="s">
        <v>568</v>
      </c>
      <c r="BC126" s="40">
        <f>AW126+AX126</f>
        <v>0</v>
      </c>
      <c r="BD126" s="40">
        <f>I126/(100-BE126)*100</f>
        <v>0</v>
      </c>
      <c r="BE126" s="40">
        <v>0</v>
      </c>
      <c r="BF126" s="40">
        <f>N126</f>
        <v>126</v>
      </c>
      <c r="BH126" s="26">
        <f>H126*AO126</f>
        <v>0</v>
      </c>
      <c r="BI126" s="26">
        <f>H126*AP126</f>
        <v>0</v>
      </c>
      <c r="BJ126" s="26">
        <f>H126*I126</f>
        <v>0</v>
      </c>
      <c r="BK126" s="26" t="s">
        <v>573</v>
      </c>
      <c r="BL126" s="40">
        <v>97</v>
      </c>
    </row>
    <row r="127" spans="1:64" x14ac:dyDescent="0.25">
      <c r="A127" s="4" t="s">
        <v>99</v>
      </c>
      <c r="B127" s="14" t="s">
        <v>246</v>
      </c>
      <c r="C127" s="135" t="s">
        <v>425</v>
      </c>
      <c r="D127" s="136"/>
      <c r="E127" s="136"/>
      <c r="F127" s="136"/>
      <c r="G127" s="14" t="s">
        <v>500</v>
      </c>
      <c r="H127" s="26">
        <v>8</v>
      </c>
      <c r="I127" s="26">
        <v>0</v>
      </c>
      <c r="J127" s="26">
        <f>H127*AO127</f>
        <v>0</v>
      </c>
      <c r="K127" s="26">
        <f>H127*AP127</f>
        <v>0</v>
      </c>
      <c r="L127" s="26">
        <f>H127*I127</f>
        <v>0</v>
      </c>
      <c r="M127" s="26">
        <v>0</v>
      </c>
      <c r="N127" s="49">
        <f>H127*127</f>
        <v>1016</v>
      </c>
      <c r="O127" s="6"/>
      <c r="Z127" s="40">
        <f>IF(AQ127="5",BJ127,0)</f>
        <v>0</v>
      </c>
      <c r="AB127" s="40">
        <f>IF(AQ127="1",BH127,0)</f>
        <v>0</v>
      </c>
      <c r="AC127" s="40">
        <f>IF(AQ127="1",BI127,0)</f>
        <v>0</v>
      </c>
      <c r="AD127" s="40">
        <f>IF(AQ127="7",BH127,0)</f>
        <v>0</v>
      </c>
      <c r="AE127" s="40">
        <f>IF(AQ127="7",BI127,0)</f>
        <v>0</v>
      </c>
      <c r="AF127" s="40">
        <f>IF(AQ127="2",BH127,0)</f>
        <v>0</v>
      </c>
      <c r="AG127" s="40">
        <f>IF(AQ127="2",BI127,0)</f>
        <v>0</v>
      </c>
      <c r="AH127" s="40">
        <f>IF(AQ127="0",BJ127,0)</f>
        <v>0</v>
      </c>
      <c r="AI127" s="37"/>
      <c r="AJ127" s="26">
        <f>IF(AN127=0,L127,0)</f>
        <v>0</v>
      </c>
      <c r="AK127" s="26">
        <f>IF(AN127=15,L127,0)</f>
        <v>0</v>
      </c>
      <c r="AL127" s="26">
        <f>IF(AN127=21,L127,0)</f>
        <v>0</v>
      </c>
      <c r="AN127" s="40">
        <v>21</v>
      </c>
      <c r="AO127" s="40">
        <f>I127*0</f>
        <v>0</v>
      </c>
      <c r="AP127" s="40">
        <f>I127*(1-0)</f>
        <v>0</v>
      </c>
      <c r="AQ127" s="41" t="s">
        <v>7</v>
      </c>
      <c r="AV127" s="40">
        <f>AW127+AX127</f>
        <v>0</v>
      </c>
      <c r="AW127" s="40">
        <f>H127*AO127</f>
        <v>0</v>
      </c>
      <c r="AX127" s="40">
        <f>H127*AP127</f>
        <v>0</v>
      </c>
      <c r="AY127" s="43" t="s">
        <v>544</v>
      </c>
      <c r="AZ127" s="43" t="s">
        <v>567</v>
      </c>
      <c r="BA127" s="37" t="s">
        <v>568</v>
      </c>
      <c r="BC127" s="40">
        <f>AW127+AX127</f>
        <v>0</v>
      </c>
      <c r="BD127" s="40">
        <f>I127/(100-BE127)*100</f>
        <v>0</v>
      </c>
      <c r="BE127" s="40">
        <v>0</v>
      </c>
      <c r="BF127" s="40">
        <f>N127</f>
        <v>1016</v>
      </c>
      <c r="BH127" s="26">
        <f>H127*AO127</f>
        <v>0</v>
      </c>
      <c r="BI127" s="26">
        <f>H127*AP127</f>
        <v>0</v>
      </c>
      <c r="BJ127" s="26">
        <f>H127*I127</f>
        <v>0</v>
      </c>
      <c r="BK127" s="26" t="s">
        <v>573</v>
      </c>
      <c r="BL127" s="40">
        <v>97</v>
      </c>
    </row>
    <row r="128" spans="1:64" x14ac:dyDescent="0.25">
      <c r="A128" s="5"/>
      <c r="B128" s="15" t="s">
        <v>247</v>
      </c>
      <c r="C128" s="137" t="s">
        <v>426</v>
      </c>
      <c r="D128" s="138"/>
      <c r="E128" s="138"/>
      <c r="F128" s="138"/>
      <c r="G128" s="24" t="s">
        <v>6</v>
      </c>
      <c r="H128" s="24" t="s">
        <v>6</v>
      </c>
      <c r="I128" s="24" t="s">
        <v>6</v>
      </c>
      <c r="J128" s="46">
        <f>SUM(J129:J129)</f>
        <v>0</v>
      </c>
      <c r="K128" s="46">
        <f>SUM(K129:K129)</f>
        <v>0</v>
      </c>
      <c r="L128" s="46">
        <f>SUM(L129:L129)</f>
        <v>0</v>
      </c>
      <c r="M128" s="37"/>
      <c r="N128" s="50">
        <f>SUM(N129:N129)</f>
        <v>12.9</v>
      </c>
      <c r="O128" s="6"/>
      <c r="AI128" s="37"/>
      <c r="AS128" s="46">
        <f>SUM(AJ129:AJ129)</f>
        <v>0</v>
      </c>
      <c r="AT128" s="46">
        <f>SUM(AK129:AK129)</f>
        <v>0</v>
      </c>
      <c r="AU128" s="46">
        <f>SUM(AL129:AL129)</f>
        <v>0</v>
      </c>
    </row>
    <row r="129" spans="1:64" x14ac:dyDescent="0.25">
      <c r="A129" s="4" t="s">
        <v>100</v>
      </c>
      <c r="B129" s="14" t="s">
        <v>248</v>
      </c>
      <c r="C129" s="135" t="s">
        <v>427</v>
      </c>
      <c r="D129" s="136"/>
      <c r="E129" s="136"/>
      <c r="F129" s="136"/>
      <c r="G129" s="14" t="s">
        <v>506</v>
      </c>
      <c r="H129" s="26">
        <v>0.1</v>
      </c>
      <c r="I129" s="26">
        <v>0</v>
      </c>
      <c r="J129" s="26">
        <f>H129*AO129</f>
        <v>0</v>
      </c>
      <c r="K129" s="26">
        <f>H129*AP129</f>
        <v>0</v>
      </c>
      <c r="L129" s="26">
        <f>H129*I129</f>
        <v>0</v>
      </c>
      <c r="M129" s="26">
        <v>0</v>
      </c>
      <c r="N129" s="49">
        <f>H129*129</f>
        <v>12.9</v>
      </c>
      <c r="O129" s="6"/>
      <c r="Z129" s="40">
        <f>IF(AQ129="5",BJ129,0)</f>
        <v>0</v>
      </c>
      <c r="AB129" s="40">
        <f>IF(AQ129="1",BH129,0)</f>
        <v>0</v>
      </c>
      <c r="AC129" s="40">
        <f>IF(AQ129="1",BI129,0)</f>
        <v>0</v>
      </c>
      <c r="AD129" s="40">
        <f>IF(AQ129="7",BH129,0)</f>
        <v>0</v>
      </c>
      <c r="AE129" s="40">
        <f>IF(AQ129="7",BI129,0)</f>
        <v>0</v>
      </c>
      <c r="AF129" s="40">
        <f>IF(AQ129="2",BH129,0)</f>
        <v>0</v>
      </c>
      <c r="AG129" s="40">
        <f>IF(AQ129="2",BI129,0)</f>
        <v>0</v>
      </c>
      <c r="AH129" s="40">
        <f>IF(AQ129="0",BJ129,0)</f>
        <v>0</v>
      </c>
      <c r="AI129" s="37"/>
      <c r="AJ129" s="26">
        <f>IF(AN129=0,L129,0)</f>
        <v>0</v>
      </c>
      <c r="AK129" s="26">
        <f>IF(AN129=15,L129,0)</f>
        <v>0</v>
      </c>
      <c r="AL129" s="26">
        <f>IF(AN129=21,L129,0)</f>
        <v>0</v>
      </c>
      <c r="AN129" s="40">
        <v>21</v>
      </c>
      <c r="AO129" s="40">
        <f>I129*0</f>
        <v>0</v>
      </c>
      <c r="AP129" s="40">
        <f>I129*(1-0)</f>
        <v>0</v>
      </c>
      <c r="AQ129" s="41" t="s">
        <v>11</v>
      </c>
      <c r="AV129" s="40">
        <f>AW129+AX129</f>
        <v>0</v>
      </c>
      <c r="AW129" s="40">
        <f>H129*AO129</f>
        <v>0</v>
      </c>
      <c r="AX129" s="40">
        <f>H129*AP129</f>
        <v>0</v>
      </c>
      <c r="AY129" s="43" t="s">
        <v>545</v>
      </c>
      <c r="AZ129" s="43" t="s">
        <v>567</v>
      </c>
      <c r="BA129" s="37" t="s">
        <v>568</v>
      </c>
      <c r="BC129" s="40">
        <f>AW129+AX129</f>
        <v>0</v>
      </c>
      <c r="BD129" s="40">
        <f>I129/(100-BE129)*100</f>
        <v>0</v>
      </c>
      <c r="BE129" s="40">
        <v>0</v>
      </c>
      <c r="BF129" s="40">
        <f>N129</f>
        <v>12.9</v>
      </c>
      <c r="BH129" s="26">
        <f>H129*AO129</f>
        <v>0</v>
      </c>
      <c r="BI129" s="26">
        <f>H129*AP129</f>
        <v>0</v>
      </c>
      <c r="BJ129" s="26">
        <f>H129*I129</f>
        <v>0</v>
      </c>
      <c r="BK129" s="26" t="s">
        <v>573</v>
      </c>
      <c r="BL129" s="40" t="s">
        <v>247</v>
      </c>
    </row>
    <row r="130" spans="1:64" x14ac:dyDescent="0.25">
      <c r="A130" s="5"/>
      <c r="B130" s="15" t="s">
        <v>249</v>
      </c>
      <c r="C130" s="137" t="s">
        <v>319</v>
      </c>
      <c r="D130" s="138"/>
      <c r="E130" s="138"/>
      <c r="F130" s="138"/>
      <c r="G130" s="24" t="s">
        <v>6</v>
      </c>
      <c r="H130" s="24" t="s">
        <v>6</v>
      </c>
      <c r="I130" s="24" t="s">
        <v>6</v>
      </c>
      <c r="J130" s="46">
        <f>SUM(J131:J132)</f>
        <v>0</v>
      </c>
      <c r="K130" s="46">
        <f>SUM(K131:K132)</f>
        <v>0</v>
      </c>
      <c r="L130" s="46">
        <f>SUM(L131:L132)</f>
        <v>0</v>
      </c>
      <c r="M130" s="37"/>
      <c r="N130" s="50">
        <f>SUM(N131:N132)</f>
        <v>2.63</v>
      </c>
      <c r="O130" s="6"/>
      <c r="AI130" s="37"/>
      <c r="AS130" s="46">
        <f>SUM(AJ131:AJ132)</f>
        <v>0</v>
      </c>
      <c r="AT130" s="46">
        <f>SUM(AK131:AK132)</f>
        <v>0</v>
      </c>
      <c r="AU130" s="46">
        <f>SUM(AL131:AL132)</f>
        <v>0</v>
      </c>
    </row>
    <row r="131" spans="1:64" x14ac:dyDescent="0.25">
      <c r="A131" s="4" t="s">
        <v>101</v>
      </c>
      <c r="B131" s="14" t="s">
        <v>250</v>
      </c>
      <c r="C131" s="135" t="s">
        <v>428</v>
      </c>
      <c r="D131" s="136"/>
      <c r="E131" s="136"/>
      <c r="F131" s="136"/>
      <c r="G131" s="14" t="s">
        <v>506</v>
      </c>
      <c r="H131" s="26">
        <v>0.01</v>
      </c>
      <c r="I131" s="26">
        <v>0</v>
      </c>
      <c r="J131" s="26">
        <f>H131*AO131</f>
        <v>0</v>
      </c>
      <c r="K131" s="26">
        <f>H131*AP131</f>
        <v>0</v>
      </c>
      <c r="L131" s="26">
        <f>H131*I131</f>
        <v>0</v>
      </c>
      <c r="M131" s="26">
        <v>0</v>
      </c>
      <c r="N131" s="49">
        <f>H131*131</f>
        <v>1.31</v>
      </c>
      <c r="O131" s="6"/>
      <c r="Z131" s="40">
        <f>IF(AQ131="5",BJ131,0)</f>
        <v>0</v>
      </c>
      <c r="AB131" s="40">
        <f>IF(AQ131="1",BH131,0)</f>
        <v>0</v>
      </c>
      <c r="AC131" s="40">
        <f>IF(AQ131="1",BI131,0)</f>
        <v>0</v>
      </c>
      <c r="AD131" s="40">
        <f>IF(AQ131="7",BH131,0)</f>
        <v>0</v>
      </c>
      <c r="AE131" s="40">
        <f>IF(AQ131="7",BI131,0)</f>
        <v>0</v>
      </c>
      <c r="AF131" s="40">
        <f>IF(AQ131="2",BH131,0)</f>
        <v>0</v>
      </c>
      <c r="AG131" s="40">
        <f>IF(AQ131="2",BI131,0)</f>
        <v>0</v>
      </c>
      <c r="AH131" s="40">
        <f>IF(AQ131="0",BJ131,0)</f>
        <v>0</v>
      </c>
      <c r="AI131" s="37"/>
      <c r="AJ131" s="26">
        <f>IF(AN131=0,L131,0)</f>
        <v>0</v>
      </c>
      <c r="AK131" s="26">
        <f>IF(AN131=15,L131,0)</f>
        <v>0</v>
      </c>
      <c r="AL131" s="26">
        <f>IF(AN131=21,L131,0)</f>
        <v>0</v>
      </c>
      <c r="AN131" s="40">
        <v>21</v>
      </c>
      <c r="AO131" s="40">
        <f>I131*0</f>
        <v>0</v>
      </c>
      <c r="AP131" s="40">
        <f>I131*(1-0)</f>
        <v>0</v>
      </c>
      <c r="AQ131" s="41" t="s">
        <v>11</v>
      </c>
      <c r="AV131" s="40">
        <f>AW131+AX131</f>
        <v>0</v>
      </c>
      <c r="AW131" s="40">
        <f>H131*AO131</f>
        <v>0</v>
      </c>
      <c r="AX131" s="40">
        <f>H131*AP131</f>
        <v>0</v>
      </c>
      <c r="AY131" s="43" t="s">
        <v>546</v>
      </c>
      <c r="AZ131" s="43" t="s">
        <v>567</v>
      </c>
      <c r="BA131" s="37" t="s">
        <v>568</v>
      </c>
      <c r="BC131" s="40">
        <f>AW131+AX131</f>
        <v>0</v>
      </c>
      <c r="BD131" s="40">
        <f>I131/(100-BE131)*100</f>
        <v>0</v>
      </c>
      <c r="BE131" s="40">
        <v>0</v>
      </c>
      <c r="BF131" s="40">
        <f>N131</f>
        <v>1.31</v>
      </c>
      <c r="BH131" s="26">
        <f>H131*AO131</f>
        <v>0</v>
      </c>
      <c r="BI131" s="26">
        <f>H131*AP131</f>
        <v>0</v>
      </c>
      <c r="BJ131" s="26">
        <f>H131*I131</f>
        <v>0</v>
      </c>
      <c r="BK131" s="26" t="s">
        <v>573</v>
      </c>
      <c r="BL131" s="40" t="s">
        <v>249</v>
      </c>
    </row>
    <row r="132" spans="1:64" x14ac:dyDescent="0.25">
      <c r="A132" s="4" t="s">
        <v>102</v>
      </c>
      <c r="B132" s="14" t="s">
        <v>251</v>
      </c>
      <c r="C132" s="135" t="s">
        <v>429</v>
      </c>
      <c r="D132" s="136"/>
      <c r="E132" s="136"/>
      <c r="F132" s="136"/>
      <c r="G132" s="14" t="s">
        <v>506</v>
      </c>
      <c r="H132" s="26">
        <v>0.01</v>
      </c>
      <c r="I132" s="26">
        <v>0</v>
      </c>
      <c r="J132" s="26">
        <f>H132*AO132</f>
        <v>0</v>
      </c>
      <c r="K132" s="26">
        <f>H132*AP132</f>
        <v>0</v>
      </c>
      <c r="L132" s="26">
        <f>H132*I132</f>
        <v>0</v>
      </c>
      <c r="M132" s="26">
        <v>0</v>
      </c>
      <c r="N132" s="49">
        <f>H132*132</f>
        <v>1.32</v>
      </c>
      <c r="O132" s="6"/>
      <c r="Z132" s="40">
        <f>IF(AQ132="5",BJ132,0)</f>
        <v>0</v>
      </c>
      <c r="AB132" s="40">
        <f>IF(AQ132="1",BH132,0)</f>
        <v>0</v>
      </c>
      <c r="AC132" s="40">
        <f>IF(AQ132="1",BI132,0)</f>
        <v>0</v>
      </c>
      <c r="AD132" s="40">
        <f>IF(AQ132="7",BH132,0)</f>
        <v>0</v>
      </c>
      <c r="AE132" s="40">
        <f>IF(AQ132="7",BI132,0)</f>
        <v>0</v>
      </c>
      <c r="AF132" s="40">
        <f>IF(AQ132="2",BH132,0)</f>
        <v>0</v>
      </c>
      <c r="AG132" s="40">
        <f>IF(AQ132="2",BI132,0)</f>
        <v>0</v>
      </c>
      <c r="AH132" s="40">
        <f>IF(AQ132="0",BJ132,0)</f>
        <v>0</v>
      </c>
      <c r="AI132" s="37"/>
      <c r="AJ132" s="26">
        <f>IF(AN132=0,L132,0)</f>
        <v>0</v>
      </c>
      <c r="AK132" s="26">
        <f>IF(AN132=15,L132,0)</f>
        <v>0</v>
      </c>
      <c r="AL132" s="26">
        <f>IF(AN132=21,L132,0)</f>
        <v>0</v>
      </c>
      <c r="AN132" s="40">
        <v>21</v>
      </c>
      <c r="AO132" s="40">
        <f>I132*0</f>
        <v>0</v>
      </c>
      <c r="AP132" s="40">
        <f>I132*(1-0)</f>
        <v>0</v>
      </c>
      <c r="AQ132" s="41" t="s">
        <v>11</v>
      </c>
      <c r="AV132" s="40">
        <f>AW132+AX132</f>
        <v>0</v>
      </c>
      <c r="AW132" s="40">
        <f>H132*AO132</f>
        <v>0</v>
      </c>
      <c r="AX132" s="40">
        <f>H132*AP132</f>
        <v>0</v>
      </c>
      <c r="AY132" s="43" t="s">
        <v>546</v>
      </c>
      <c r="AZ132" s="43" t="s">
        <v>567</v>
      </c>
      <c r="BA132" s="37" t="s">
        <v>568</v>
      </c>
      <c r="BC132" s="40">
        <f>AW132+AX132</f>
        <v>0</v>
      </c>
      <c r="BD132" s="40">
        <f>I132/(100-BE132)*100</f>
        <v>0</v>
      </c>
      <c r="BE132" s="40">
        <v>0</v>
      </c>
      <c r="BF132" s="40">
        <f>N132</f>
        <v>1.32</v>
      </c>
      <c r="BH132" s="26">
        <f>H132*AO132</f>
        <v>0</v>
      </c>
      <c r="BI132" s="26">
        <f>H132*AP132</f>
        <v>0</v>
      </c>
      <c r="BJ132" s="26">
        <f>H132*I132</f>
        <v>0</v>
      </c>
      <c r="BK132" s="26" t="s">
        <v>573</v>
      </c>
      <c r="BL132" s="40" t="s">
        <v>249</v>
      </c>
    </row>
    <row r="133" spans="1:64" x14ac:dyDescent="0.25">
      <c r="A133" s="5"/>
      <c r="B133" s="15" t="s">
        <v>252</v>
      </c>
      <c r="C133" s="137" t="s">
        <v>335</v>
      </c>
      <c r="D133" s="138"/>
      <c r="E133" s="138"/>
      <c r="F133" s="138"/>
      <c r="G133" s="24" t="s">
        <v>6</v>
      </c>
      <c r="H133" s="24" t="s">
        <v>6</v>
      </c>
      <c r="I133" s="24" t="s">
        <v>6</v>
      </c>
      <c r="J133" s="46">
        <f>SUM(J134:J135)</f>
        <v>0</v>
      </c>
      <c r="K133" s="46">
        <f>SUM(K134:K135)</f>
        <v>0</v>
      </c>
      <c r="L133" s="46">
        <f>SUM(L134:L135)</f>
        <v>0</v>
      </c>
      <c r="M133" s="37"/>
      <c r="N133" s="50">
        <f>SUM(N134:N135)</f>
        <v>430.4</v>
      </c>
      <c r="O133" s="6"/>
      <c r="AI133" s="37"/>
      <c r="AS133" s="46">
        <f>SUM(AJ134:AJ135)</f>
        <v>0</v>
      </c>
      <c r="AT133" s="46">
        <f>SUM(AK134:AK135)</f>
        <v>0</v>
      </c>
      <c r="AU133" s="46">
        <f>SUM(AL134:AL135)</f>
        <v>0</v>
      </c>
    </row>
    <row r="134" spans="1:64" x14ac:dyDescent="0.25">
      <c r="A134" s="4" t="s">
        <v>103</v>
      </c>
      <c r="B134" s="14" t="s">
        <v>253</v>
      </c>
      <c r="C134" s="135" t="s">
        <v>430</v>
      </c>
      <c r="D134" s="136"/>
      <c r="E134" s="136"/>
      <c r="F134" s="136"/>
      <c r="G134" s="14" t="s">
        <v>506</v>
      </c>
      <c r="H134" s="26">
        <v>1.6</v>
      </c>
      <c r="I134" s="26">
        <v>0</v>
      </c>
      <c r="J134" s="26">
        <f>H134*AO134</f>
        <v>0</v>
      </c>
      <c r="K134" s="26">
        <f>H134*AP134</f>
        <v>0</v>
      </c>
      <c r="L134" s="26">
        <f>H134*I134</f>
        <v>0</v>
      </c>
      <c r="M134" s="26">
        <v>0</v>
      </c>
      <c r="N134" s="49">
        <f>H134*134</f>
        <v>214.4</v>
      </c>
      <c r="O134" s="6"/>
      <c r="Z134" s="40">
        <f>IF(AQ134="5",BJ134,0)</f>
        <v>0</v>
      </c>
      <c r="AB134" s="40">
        <f>IF(AQ134="1",BH134,0)</f>
        <v>0</v>
      </c>
      <c r="AC134" s="40">
        <f>IF(AQ134="1",BI134,0)</f>
        <v>0</v>
      </c>
      <c r="AD134" s="40">
        <f>IF(AQ134="7",BH134,0)</f>
        <v>0</v>
      </c>
      <c r="AE134" s="40">
        <f>IF(AQ134="7",BI134,0)</f>
        <v>0</v>
      </c>
      <c r="AF134" s="40">
        <f>IF(AQ134="2",BH134,0)</f>
        <v>0</v>
      </c>
      <c r="AG134" s="40">
        <f>IF(AQ134="2",BI134,0)</f>
        <v>0</v>
      </c>
      <c r="AH134" s="40">
        <f>IF(AQ134="0",BJ134,0)</f>
        <v>0</v>
      </c>
      <c r="AI134" s="37"/>
      <c r="AJ134" s="26">
        <f>IF(AN134=0,L134,0)</f>
        <v>0</v>
      </c>
      <c r="AK134" s="26">
        <f>IF(AN134=15,L134,0)</f>
        <v>0</v>
      </c>
      <c r="AL134" s="26">
        <f>IF(AN134=21,L134,0)</f>
        <v>0</v>
      </c>
      <c r="AN134" s="40">
        <v>21</v>
      </c>
      <c r="AO134" s="40">
        <f>I134*0</f>
        <v>0</v>
      </c>
      <c r="AP134" s="40">
        <f>I134*(1-0)</f>
        <v>0</v>
      </c>
      <c r="AQ134" s="41" t="s">
        <v>11</v>
      </c>
      <c r="AV134" s="40">
        <f>AW134+AX134</f>
        <v>0</v>
      </c>
      <c r="AW134" s="40">
        <f>H134*AO134</f>
        <v>0</v>
      </c>
      <c r="AX134" s="40">
        <f>H134*AP134</f>
        <v>0</v>
      </c>
      <c r="AY134" s="43" t="s">
        <v>547</v>
      </c>
      <c r="AZ134" s="43" t="s">
        <v>567</v>
      </c>
      <c r="BA134" s="37" t="s">
        <v>568</v>
      </c>
      <c r="BC134" s="40">
        <f>AW134+AX134</f>
        <v>0</v>
      </c>
      <c r="BD134" s="40">
        <f>I134/(100-BE134)*100</f>
        <v>0</v>
      </c>
      <c r="BE134" s="40">
        <v>0</v>
      </c>
      <c r="BF134" s="40">
        <f>N134</f>
        <v>214.4</v>
      </c>
      <c r="BH134" s="26">
        <f>H134*AO134</f>
        <v>0</v>
      </c>
      <c r="BI134" s="26">
        <f>H134*AP134</f>
        <v>0</v>
      </c>
      <c r="BJ134" s="26">
        <f>H134*I134</f>
        <v>0</v>
      </c>
      <c r="BK134" s="26" t="s">
        <v>573</v>
      </c>
      <c r="BL134" s="40" t="s">
        <v>252</v>
      </c>
    </row>
    <row r="135" spans="1:64" x14ac:dyDescent="0.25">
      <c r="A135" s="4" t="s">
        <v>104</v>
      </c>
      <c r="B135" s="14" t="s">
        <v>254</v>
      </c>
      <c r="C135" s="135" t="s">
        <v>431</v>
      </c>
      <c r="D135" s="136"/>
      <c r="E135" s="136"/>
      <c r="F135" s="136"/>
      <c r="G135" s="14" t="s">
        <v>506</v>
      </c>
      <c r="H135" s="26">
        <v>1.6</v>
      </c>
      <c r="I135" s="26">
        <v>0</v>
      </c>
      <c r="J135" s="26">
        <f>H135*AO135</f>
        <v>0</v>
      </c>
      <c r="K135" s="26">
        <f>H135*AP135</f>
        <v>0</v>
      </c>
      <c r="L135" s="26">
        <f>H135*I135</f>
        <v>0</v>
      </c>
      <c r="M135" s="26">
        <v>0</v>
      </c>
      <c r="N135" s="49">
        <f>H135*135</f>
        <v>216</v>
      </c>
      <c r="O135" s="6"/>
      <c r="Z135" s="40">
        <f>IF(AQ135="5",BJ135,0)</f>
        <v>0</v>
      </c>
      <c r="AB135" s="40">
        <f>IF(AQ135="1",BH135,0)</f>
        <v>0</v>
      </c>
      <c r="AC135" s="40">
        <f>IF(AQ135="1",BI135,0)</f>
        <v>0</v>
      </c>
      <c r="AD135" s="40">
        <f>IF(AQ135="7",BH135,0)</f>
        <v>0</v>
      </c>
      <c r="AE135" s="40">
        <f>IF(AQ135="7",BI135,0)</f>
        <v>0</v>
      </c>
      <c r="AF135" s="40">
        <f>IF(AQ135="2",BH135,0)</f>
        <v>0</v>
      </c>
      <c r="AG135" s="40">
        <f>IF(AQ135="2",BI135,0)</f>
        <v>0</v>
      </c>
      <c r="AH135" s="40">
        <f>IF(AQ135="0",BJ135,0)</f>
        <v>0</v>
      </c>
      <c r="AI135" s="37"/>
      <c r="AJ135" s="26">
        <f>IF(AN135=0,L135,0)</f>
        <v>0</v>
      </c>
      <c r="AK135" s="26">
        <f>IF(AN135=15,L135,0)</f>
        <v>0</v>
      </c>
      <c r="AL135" s="26">
        <f>IF(AN135=21,L135,0)</f>
        <v>0</v>
      </c>
      <c r="AN135" s="40">
        <v>21</v>
      </c>
      <c r="AO135" s="40">
        <f>I135*0</f>
        <v>0</v>
      </c>
      <c r="AP135" s="40">
        <f>I135*(1-0)</f>
        <v>0</v>
      </c>
      <c r="AQ135" s="41" t="s">
        <v>11</v>
      </c>
      <c r="AV135" s="40">
        <f>AW135+AX135</f>
        <v>0</v>
      </c>
      <c r="AW135" s="40">
        <f>H135*AO135</f>
        <v>0</v>
      </c>
      <c r="AX135" s="40">
        <f>H135*AP135</f>
        <v>0</v>
      </c>
      <c r="AY135" s="43" t="s">
        <v>547</v>
      </c>
      <c r="AZ135" s="43" t="s">
        <v>567</v>
      </c>
      <c r="BA135" s="37" t="s">
        <v>568</v>
      </c>
      <c r="BC135" s="40">
        <f>AW135+AX135</f>
        <v>0</v>
      </c>
      <c r="BD135" s="40">
        <f>I135/(100-BE135)*100</f>
        <v>0</v>
      </c>
      <c r="BE135" s="40">
        <v>0</v>
      </c>
      <c r="BF135" s="40">
        <f>N135</f>
        <v>216</v>
      </c>
      <c r="BH135" s="26">
        <f>H135*AO135</f>
        <v>0</v>
      </c>
      <c r="BI135" s="26">
        <f>H135*AP135</f>
        <v>0</v>
      </c>
      <c r="BJ135" s="26">
        <f>H135*I135</f>
        <v>0</v>
      </c>
      <c r="BK135" s="26" t="s">
        <v>573</v>
      </c>
      <c r="BL135" s="40" t="s">
        <v>252</v>
      </c>
    </row>
    <row r="136" spans="1:64" x14ac:dyDescent="0.25">
      <c r="A136" s="5"/>
      <c r="B136" s="15" t="s">
        <v>255</v>
      </c>
      <c r="C136" s="137" t="s">
        <v>348</v>
      </c>
      <c r="D136" s="138"/>
      <c r="E136" s="138"/>
      <c r="F136" s="138"/>
      <c r="G136" s="24" t="s">
        <v>6</v>
      </c>
      <c r="H136" s="24" t="s">
        <v>6</v>
      </c>
      <c r="I136" s="24" t="s">
        <v>6</v>
      </c>
      <c r="J136" s="46">
        <f>SUM(J137:J138)</f>
        <v>0</v>
      </c>
      <c r="K136" s="46">
        <f>SUM(K137:K138)</f>
        <v>0</v>
      </c>
      <c r="L136" s="46">
        <f>SUM(L137:L138)</f>
        <v>0</v>
      </c>
      <c r="M136" s="37"/>
      <c r="N136" s="50">
        <f>SUM(N137:N138)</f>
        <v>220</v>
      </c>
      <c r="O136" s="6"/>
      <c r="AI136" s="37"/>
      <c r="AS136" s="46">
        <f>SUM(AJ137:AJ138)</f>
        <v>0</v>
      </c>
      <c r="AT136" s="46">
        <f>SUM(AK137:AK138)</f>
        <v>0</v>
      </c>
      <c r="AU136" s="46">
        <f>SUM(AL137:AL138)</f>
        <v>0</v>
      </c>
    </row>
    <row r="137" spans="1:64" x14ac:dyDescent="0.25">
      <c r="A137" s="4" t="s">
        <v>105</v>
      </c>
      <c r="B137" s="14" t="s">
        <v>256</v>
      </c>
      <c r="C137" s="135" t="s">
        <v>432</v>
      </c>
      <c r="D137" s="136"/>
      <c r="E137" s="136"/>
      <c r="F137" s="136"/>
      <c r="G137" s="14" t="s">
        <v>506</v>
      </c>
      <c r="H137" s="26">
        <v>0.8</v>
      </c>
      <c r="I137" s="26">
        <v>0</v>
      </c>
      <c r="J137" s="26">
        <f>H137*AO137</f>
        <v>0</v>
      </c>
      <c r="K137" s="26">
        <f>H137*AP137</f>
        <v>0</v>
      </c>
      <c r="L137" s="26">
        <f>H137*I137</f>
        <v>0</v>
      </c>
      <c r="M137" s="26">
        <v>0</v>
      </c>
      <c r="N137" s="49">
        <f>H137*137</f>
        <v>109.60000000000001</v>
      </c>
      <c r="O137" s="6"/>
      <c r="Z137" s="40">
        <f>IF(AQ137="5",BJ137,0)</f>
        <v>0</v>
      </c>
      <c r="AB137" s="40">
        <f>IF(AQ137="1",BH137,0)</f>
        <v>0</v>
      </c>
      <c r="AC137" s="40">
        <f>IF(AQ137="1",BI137,0)</f>
        <v>0</v>
      </c>
      <c r="AD137" s="40">
        <f>IF(AQ137="7",BH137,0)</f>
        <v>0</v>
      </c>
      <c r="AE137" s="40">
        <f>IF(AQ137="7",BI137,0)</f>
        <v>0</v>
      </c>
      <c r="AF137" s="40">
        <f>IF(AQ137="2",BH137,0)</f>
        <v>0</v>
      </c>
      <c r="AG137" s="40">
        <f>IF(AQ137="2",BI137,0)</f>
        <v>0</v>
      </c>
      <c r="AH137" s="40">
        <f>IF(AQ137="0",BJ137,0)</f>
        <v>0</v>
      </c>
      <c r="AI137" s="37"/>
      <c r="AJ137" s="26">
        <f>IF(AN137=0,L137,0)</f>
        <v>0</v>
      </c>
      <c r="AK137" s="26">
        <f>IF(AN137=15,L137,0)</f>
        <v>0</v>
      </c>
      <c r="AL137" s="26">
        <f>IF(AN137=21,L137,0)</f>
        <v>0</v>
      </c>
      <c r="AN137" s="40">
        <v>21</v>
      </c>
      <c r="AO137" s="40">
        <f>I137*0</f>
        <v>0</v>
      </c>
      <c r="AP137" s="40">
        <f>I137*(1-0)</f>
        <v>0</v>
      </c>
      <c r="AQ137" s="41" t="s">
        <v>11</v>
      </c>
      <c r="AV137" s="40">
        <f>AW137+AX137</f>
        <v>0</v>
      </c>
      <c r="AW137" s="40">
        <f>H137*AO137</f>
        <v>0</v>
      </c>
      <c r="AX137" s="40">
        <f>H137*AP137</f>
        <v>0</v>
      </c>
      <c r="AY137" s="43" t="s">
        <v>548</v>
      </c>
      <c r="AZ137" s="43" t="s">
        <v>567</v>
      </c>
      <c r="BA137" s="37" t="s">
        <v>568</v>
      </c>
      <c r="BC137" s="40">
        <f>AW137+AX137</f>
        <v>0</v>
      </c>
      <c r="BD137" s="40">
        <f>I137/(100-BE137)*100</f>
        <v>0</v>
      </c>
      <c r="BE137" s="40">
        <v>0</v>
      </c>
      <c r="BF137" s="40">
        <f>N137</f>
        <v>109.60000000000001</v>
      </c>
      <c r="BH137" s="26">
        <f>H137*AO137</f>
        <v>0</v>
      </c>
      <c r="BI137" s="26">
        <f>H137*AP137</f>
        <v>0</v>
      </c>
      <c r="BJ137" s="26">
        <f>H137*I137</f>
        <v>0</v>
      </c>
      <c r="BK137" s="26" t="s">
        <v>573</v>
      </c>
      <c r="BL137" s="40" t="s">
        <v>255</v>
      </c>
    </row>
    <row r="138" spans="1:64" x14ac:dyDescent="0.25">
      <c r="A138" s="4" t="s">
        <v>106</v>
      </c>
      <c r="B138" s="14" t="s">
        <v>257</v>
      </c>
      <c r="C138" s="135" t="s">
        <v>433</v>
      </c>
      <c r="D138" s="136"/>
      <c r="E138" s="136"/>
      <c r="F138" s="136"/>
      <c r="G138" s="14" t="s">
        <v>506</v>
      </c>
      <c r="H138" s="26">
        <v>0.8</v>
      </c>
      <c r="I138" s="26">
        <v>0</v>
      </c>
      <c r="J138" s="26">
        <f>H138*AO138</f>
        <v>0</v>
      </c>
      <c r="K138" s="26">
        <f>H138*AP138</f>
        <v>0</v>
      </c>
      <c r="L138" s="26">
        <f>H138*I138</f>
        <v>0</v>
      </c>
      <c r="M138" s="26">
        <v>0</v>
      </c>
      <c r="N138" s="49">
        <f>H138*138</f>
        <v>110.4</v>
      </c>
      <c r="O138" s="6"/>
      <c r="Z138" s="40">
        <f>IF(AQ138="5",BJ138,0)</f>
        <v>0</v>
      </c>
      <c r="AB138" s="40">
        <f>IF(AQ138="1",BH138,0)</f>
        <v>0</v>
      </c>
      <c r="AC138" s="40">
        <f>IF(AQ138="1",BI138,0)</f>
        <v>0</v>
      </c>
      <c r="AD138" s="40">
        <f>IF(AQ138="7",BH138,0)</f>
        <v>0</v>
      </c>
      <c r="AE138" s="40">
        <f>IF(AQ138="7",BI138,0)</f>
        <v>0</v>
      </c>
      <c r="AF138" s="40">
        <f>IF(AQ138="2",BH138,0)</f>
        <v>0</v>
      </c>
      <c r="AG138" s="40">
        <f>IF(AQ138="2",BI138,0)</f>
        <v>0</v>
      </c>
      <c r="AH138" s="40">
        <f>IF(AQ138="0",BJ138,0)</f>
        <v>0</v>
      </c>
      <c r="AI138" s="37"/>
      <c r="AJ138" s="26">
        <f>IF(AN138=0,L138,0)</f>
        <v>0</v>
      </c>
      <c r="AK138" s="26">
        <f>IF(AN138=15,L138,0)</f>
        <v>0</v>
      </c>
      <c r="AL138" s="26">
        <f>IF(AN138=21,L138,0)</f>
        <v>0</v>
      </c>
      <c r="AN138" s="40">
        <v>21</v>
      </c>
      <c r="AO138" s="40">
        <f>I138*0</f>
        <v>0</v>
      </c>
      <c r="AP138" s="40">
        <f>I138*(1-0)</f>
        <v>0</v>
      </c>
      <c r="AQ138" s="41" t="s">
        <v>11</v>
      </c>
      <c r="AV138" s="40">
        <f>AW138+AX138</f>
        <v>0</v>
      </c>
      <c r="AW138" s="40">
        <f>H138*AO138</f>
        <v>0</v>
      </c>
      <c r="AX138" s="40">
        <f>H138*AP138</f>
        <v>0</v>
      </c>
      <c r="AY138" s="43" t="s">
        <v>548</v>
      </c>
      <c r="AZ138" s="43" t="s">
        <v>567</v>
      </c>
      <c r="BA138" s="37" t="s">
        <v>568</v>
      </c>
      <c r="BC138" s="40">
        <f>AW138+AX138</f>
        <v>0</v>
      </c>
      <c r="BD138" s="40">
        <f>I138/(100-BE138)*100</f>
        <v>0</v>
      </c>
      <c r="BE138" s="40">
        <v>0</v>
      </c>
      <c r="BF138" s="40">
        <f>N138</f>
        <v>110.4</v>
      </c>
      <c r="BH138" s="26">
        <f>H138*AO138</f>
        <v>0</v>
      </c>
      <c r="BI138" s="26">
        <f>H138*AP138</f>
        <v>0</v>
      </c>
      <c r="BJ138" s="26">
        <f>H138*I138</f>
        <v>0</v>
      </c>
      <c r="BK138" s="26" t="s">
        <v>573</v>
      </c>
      <c r="BL138" s="40" t="s">
        <v>255</v>
      </c>
    </row>
    <row r="139" spans="1:64" x14ac:dyDescent="0.25">
      <c r="A139" s="5"/>
      <c r="B139" s="15" t="s">
        <v>258</v>
      </c>
      <c r="C139" s="137" t="s">
        <v>356</v>
      </c>
      <c r="D139" s="138"/>
      <c r="E139" s="138"/>
      <c r="F139" s="138"/>
      <c r="G139" s="24" t="s">
        <v>6</v>
      </c>
      <c r="H139" s="24" t="s">
        <v>6</v>
      </c>
      <c r="I139" s="24" t="s">
        <v>6</v>
      </c>
      <c r="J139" s="46">
        <f>SUM(J140:J141)</f>
        <v>0</v>
      </c>
      <c r="K139" s="46">
        <f>SUM(K140:K141)</f>
        <v>0</v>
      </c>
      <c r="L139" s="46">
        <f>SUM(L140:L141)</f>
        <v>0</v>
      </c>
      <c r="M139" s="37"/>
      <c r="N139" s="50">
        <f>SUM(N140:N141)</f>
        <v>196.7</v>
      </c>
      <c r="O139" s="6"/>
      <c r="AI139" s="37"/>
      <c r="AS139" s="46">
        <f>SUM(AJ140:AJ141)</f>
        <v>0</v>
      </c>
      <c r="AT139" s="46">
        <f>SUM(AK140:AK141)</f>
        <v>0</v>
      </c>
      <c r="AU139" s="46">
        <f>SUM(AL140:AL141)</f>
        <v>0</v>
      </c>
    </row>
    <row r="140" spans="1:64" x14ac:dyDescent="0.25">
      <c r="A140" s="4" t="s">
        <v>107</v>
      </c>
      <c r="B140" s="14" t="s">
        <v>259</v>
      </c>
      <c r="C140" s="135" t="s">
        <v>434</v>
      </c>
      <c r="D140" s="136"/>
      <c r="E140" s="136"/>
      <c r="F140" s="136"/>
      <c r="G140" s="14" t="s">
        <v>506</v>
      </c>
      <c r="H140" s="26">
        <v>0.7</v>
      </c>
      <c r="I140" s="26">
        <v>0</v>
      </c>
      <c r="J140" s="26">
        <f>H140*AO140</f>
        <v>0</v>
      </c>
      <c r="K140" s="26">
        <f>H140*AP140</f>
        <v>0</v>
      </c>
      <c r="L140" s="26">
        <f>H140*I140</f>
        <v>0</v>
      </c>
      <c r="M140" s="26">
        <v>0</v>
      </c>
      <c r="N140" s="49">
        <f>H140*140</f>
        <v>98</v>
      </c>
      <c r="O140" s="6"/>
      <c r="Z140" s="40">
        <f>IF(AQ140="5",BJ140,0)</f>
        <v>0</v>
      </c>
      <c r="AB140" s="40">
        <f>IF(AQ140="1",BH140,0)</f>
        <v>0</v>
      </c>
      <c r="AC140" s="40">
        <f>IF(AQ140="1",BI140,0)</f>
        <v>0</v>
      </c>
      <c r="AD140" s="40">
        <f>IF(AQ140="7",BH140,0)</f>
        <v>0</v>
      </c>
      <c r="AE140" s="40">
        <f>IF(AQ140="7",BI140,0)</f>
        <v>0</v>
      </c>
      <c r="AF140" s="40">
        <f>IF(AQ140="2",BH140,0)</f>
        <v>0</v>
      </c>
      <c r="AG140" s="40">
        <f>IF(AQ140="2",BI140,0)</f>
        <v>0</v>
      </c>
      <c r="AH140" s="40">
        <f>IF(AQ140="0",BJ140,0)</f>
        <v>0</v>
      </c>
      <c r="AI140" s="37"/>
      <c r="AJ140" s="26">
        <f>IF(AN140=0,L140,0)</f>
        <v>0</v>
      </c>
      <c r="AK140" s="26">
        <f>IF(AN140=15,L140,0)</f>
        <v>0</v>
      </c>
      <c r="AL140" s="26">
        <f>IF(AN140=21,L140,0)</f>
        <v>0</v>
      </c>
      <c r="AN140" s="40">
        <v>21</v>
      </c>
      <c r="AO140" s="40">
        <f>I140*0</f>
        <v>0</v>
      </c>
      <c r="AP140" s="40">
        <f>I140*(1-0)</f>
        <v>0</v>
      </c>
      <c r="AQ140" s="41" t="s">
        <v>11</v>
      </c>
      <c r="AV140" s="40">
        <f>AW140+AX140</f>
        <v>0</v>
      </c>
      <c r="AW140" s="40">
        <f>H140*AO140</f>
        <v>0</v>
      </c>
      <c r="AX140" s="40">
        <f>H140*AP140</f>
        <v>0</v>
      </c>
      <c r="AY140" s="43" t="s">
        <v>549</v>
      </c>
      <c r="AZ140" s="43" t="s">
        <v>567</v>
      </c>
      <c r="BA140" s="37" t="s">
        <v>568</v>
      </c>
      <c r="BC140" s="40">
        <f>AW140+AX140</f>
        <v>0</v>
      </c>
      <c r="BD140" s="40">
        <f>I140/(100-BE140)*100</f>
        <v>0</v>
      </c>
      <c r="BE140" s="40">
        <v>0</v>
      </c>
      <c r="BF140" s="40">
        <f>N140</f>
        <v>98</v>
      </c>
      <c r="BH140" s="26">
        <f>H140*AO140</f>
        <v>0</v>
      </c>
      <c r="BI140" s="26">
        <f>H140*AP140</f>
        <v>0</v>
      </c>
      <c r="BJ140" s="26">
        <f>H140*I140</f>
        <v>0</v>
      </c>
      <c r="BK140" s="26" t="s">
        <v>573</v>
      </c>
      <c r="BL140" s="40" t="s">
        <v>258</v>
      </c>
    </row>
    <row r="141" spans="1:64" x14ac:dyDescent="0.25">
      <c r="A141" s="4" t="s">
        <v>108</v>
      </c>
      <c r="B141" s="14" t="s">
        <v>260</v>
      </c>
      <c r="C141" s="135" t="s">
        <v>435</v>
      </c>
      <c r="D141" s="136"/>
      <c r="E141" s="136"/>
      <c r="F141" s="136"/>
      <c r="G141" s="14" t="s">
        <v>506</v>
      </c>
      <c r="H141" s="26">
        <v>0.7</v>
      </c>
      <c r="I141" s="26">
        <v>0</v>
      </c>
      <c r="J141" s="26">
        <f>H141*AO141</f>
        <v>0</v>
      </c>
      <c r="K141" s="26">
        <f>H141*AP141</f>
        <v>0</v>
      </c>
      <c r="L141" s="26">
        <f>H141*I141</f>
        <v>0</v>
      </c>
      <c r="M141" s="26">
        <v>0</v>
      </c>
      <c r="N141" s="49">
        <f>H141*141</f>
        <v>98.699999999999989</v>
      </c>
      <c r="O141" s="6"/>
      <c r="Z141" s="40">
        <f>IF(AQ141="5",BJ141,0)</f>
        <v>0</v>
      </c>
      <c r="AB141" s="40">
        <f>IF(AQ141="1",BH141,0)</f>
        <v>0</v>
      </c>
      <c r="AC141" s="40">
        <f>IF(AQ141="1",BI141,0)</f>
        <v>0</v>
      </c>
      <c r="AD141" s="40">
        <f>IF(AQ141="7",BH141,0)</f>
        <v>0</v>
      </c>
      <c r="AE141" s="40">
        <f>IF(AQ141="7",BI141,0)</f>
        <v>0</v>
      </c>
      <c r="AF141" s="40">
        <f>IF(AQ141="2",BH141,0)</f>
        <v>0</v>
      </c>
      <c r="AG141" s="40">
        <f>IF(AQ141="2",BI141,0)</f>
        <v>0</v>
      </c>
      <c r="AH141" s="40">
        <f>IF(AQ141="0",BJ141,0)</f>
        <v>0</v>
      </c>
      <c r="AI141" s="37"/>
      <c r="AJ141" s="26">
        <f>IF(AN141=0,L141,0)</f>
        <v>0</v>
      </c>
      <c r="AK141" s="26">
        <f>IF(AN141=15,L141,0)</f>
        <v>0</v>
      </c>
      <c r="AL141" s="26">
        <f>IF(AN141=21,L141,0)</f>
        <v>0</v>
      </c>
      <c r="AN141" s="40">
        <v>21</v>
      </c>
      <c r="AO141" s="40">
        <f>I141*0</f>
        <v>0</v>
      </c>
      <c r="AP141" s="40">
        <f>I141*(1-0)</f>
        <v>0</v>
      </c>
      <c r="AQ141" s="41" t="s">
        <v>11</v>
      </c>
      <c r="AV141" s="40">
        <f>AW141+AX141</f>
        <v>0</v>
      </c>
      <c r="AW141" s="40">
        <f>H141*AO141</f>
        <v>0</v>
      </c>
      <c r="AX141" s="40">
        <f>H141*AP141</f>
        <v>0</v>
      </c>
      <c r="AY141" s="43" t="s">
        <v>549</v>
      </c>
      <c r="AZ141" s="43" t="s">
        <v>567</v>
      </c>
      <c r="BA141" s="37" t="s">
        <v>568</v>
      </c>
      <c r="BC141" s="40">
        <f>AW141+AX141</f>
        <v>0</v>
      </c>
      <c r="BD141" s="40">
        <f>I141/(100-BE141)*100</f>
        <v>0</v>
      </c>
      <c r="BE141" s="40">
        <v>0</v>
      </c>
      <c r="BF141" s="40">
        <f>N141</f>
        <v>98.699999999999989</v>
      </c>
      <c r="BH141" s="26">
        <f>H141*AO141</f>
        <v>0</v>
      </c>
      <c r="BI141" s="26">
        <f>H141*AP141</f>
        <v>0</v>
      </c>
      <c r="BJ141" s="26">
        <f>H141*I141</f>
        <v>0</v>
      </c>
      <c r="BK141" s="26" t="s">
        <v>573</v>
      </c>
      <c r="BL141" s="40" t="s">
        <v>258</v>
      </c>
    </row>
    <row r="142" spans="1:64" x14ac:dyDescent="0.25">
      <c r="A142" s="5"/>
      <c r="B142" s="15" t="s">
        <v>261</v>
      </c>
      <c r="C142" s="137" t="s">
        <v>365</v>
      </c>
      <c r="D142" s="138"/>
      <c r="E142" s="138"/>
      <c r="F142" s="138"/>
      <c r="G142" s="24" t="s">
        <v>6</v>
      </c>
      <c r="H142" s="24" t="s">
        <v>6</v>
      </c>
      <c r="I142" s="24" t="s">
        <v>6</v>
      </c>
      <c r="J142" s="46">
        <f>SUM(J143:J144)</f>
        <v>0</v>
      </c>
      <c r="K142" s="46">
        <f>SUM(K143:K144)</f>
        <v>0</v>
      </c>
      <c r="L142" s="46">
        <f>SUM(L143:L144)</f>
        <v>0</v>
      </c>
      <c r="M142" s="37"/>
      <c r="N142" s="50">
        <f>SUM(N143:N144)</f>
        <v>28.700000000000003</v>
      </c>
      <c r="O142" s="6"/>
      <c r="AI142" s="37"/>
      <c r="AS142" s="46">
        <f>SUM(AJ143:AJ144)</f>
        <v>0</v>
      </c>
      <c r="AT142" s="46">
        <f>SUM(AK143:AK144)</f>
        <v>0</v>
      </c>
      <c r="AU142" s="46">
        <f>SUM(AL143:AL144)</f>
        <v>0</v>
      </c>
    </row>
    <row r="143" spans="1:64" x14ac:dyDescent="0.25">
      <c r="A143" s="4" t="s">
        <v>109</v>
      </c>
      <c r="B143" s="14" t="s">
        <v>262</v>
      </c>
      <c r="C143" s="135" t="s">
        <v>436</v>
      </c>
      <c r="D143" s="136"/>
      <c r="E143" s="136"/>
      <c r="F143" s="136"/>
      <c r="G143" s="14" t="s">
        <v>506</v>
      </c>
      <c r="H143" s="26">
        <v>0.1</v>
      </c>
      <c r="I143" s="26">
        <v>0</v>
      </c>
      <c r="J143" s="26">
        <f>H143*AO143</f>
        <v>0</v>
      </c>
      <c r="K143" s="26">
        <f>H143*AP143</f>
        <v>0</v>
      </c>
      <c r="L143" s="26">
        <f>H143*I143</f>
        <v>0</v>
      </c>
      <c r="M143" s="26">
        <v>0</v>
      </c>
      <c r="N143" s="49">
        <f>H143*143</f>
        <v>14.3</v>
      </c>
      <c r="O143" s="6"/>
      <c r="Z143" s="40">
        <f>IF(AQ143="5",BJ143,0)</f>
        <v>0</v>
      </c>
      <c r="AB143" s="40">
        <f>IF(AQ143="1",BH143,0)</f>
        <v>0</v>
      </c>
      <c r="AC143" s="40">
        <f>IF(AQ143="1",BI143,0)</f>
        <v>0</v>
      </c>
      <c r="AD143" s="40">
        <f>IF(AQ143="7",BH143,0)</f>
        <v>0</v>
      </c>
      <c r="AE143" s="40">
        <f>IF(AQ143="7",BI143,0)</f>
        <v>0</v>
      </c>
      <c r="AF143" s="40">
        <f>IF(AQ143="2",BH143,0)</f>
        <v>0</v>
      </c>
      <c r="AG143" s="40">
        <f>IF(AQ143="2",BI143,0)</f>
        <v>0</v>
      </c>
      <c r="AH143" s="40">
        <f>IF(AQ143="0",BJ143,0)</f>
        <v>0</v>
      </c>
      <c r="AI143" s="37"/>
      <c r="AJ143" s="26">
        <f>IF(AN143=0,L143,0)</f>
        <v>0</v>
      </c>
      <c r="AK143" s="26">
        <f>IF(AN143=15,L143,0)</f>
        <v>0</v>
      </c>
      <c r="AL143" s="26">
        <f>IF(AN143=21,L143,0)</f>
        <v>0</v>
      </c>
      <c r="AN143" s="40">
        <v>21</v>
      </c>
      <c r="AO143" s="40">
        <f>I143*0</f>
        <v>0</v>
      </c>
      <c r="AP143" s="40">
        <f>I143*(1-0)</f>
        <v>0</v>
      </c>
      <c r="AQ143" s="41" t="s">
        <v>11</v>
      </c>
      <c r="AV143" s="40">
        <f>AW143+AX143</f>
        <v>0</v>
      </c>
      <c r="AW143" s="40">
        <f>H143*AO143</f>
        <v>0</v>
      </c>
      <c r="AX143" s="40">
        <f>H143*AP143</f>
        <v>0</v>
      </c>
      <c r="AY143" s="43" t="s">
        <v>550</v>
      </c>
      <c r="AZ143" s="43" t="s">
        <v>567</v>
      </c>
      <c r="BA143" s="37" t="s">
        <v>568</v>
      </c>
      <c r="BC143" s="40">
        <f>AW143+AX143</f>
        <v>0</v>
      </c>
      <c r="BD143" s="40">
        <f>I143/(100-BE143)*100</f>
        <v>0</v>
      </c>
      <c r="BE143" s="40">
        <v>0</v>
      </c>
      <c r="BF143" s="40">
        <f>N143</f>
        <v>14.3</v>
      </c>
      <c r="BH143" s="26">
        <f>H143*AO143</f>
        <v>0</v>
      </c>
      <c r="BI143" s="26">
        <f>H143*AP143</f>
        <v>0</v>
      </c>
      <c r="BJ143" s="26">
        <f>H143*I143</f>
        <v>0</v>
      </c>
      <c r="BK143" s="26" t="s">
        <v>573</v>
      </c>
      <c r="BL143" s="40" t="s">
        <v>261</v>
      </c>
    </row>
    <row r="144" spans="1:64" x14ac:dyDescent="0.25">
      <c r="A144" s="4" t="s">
        <v>110</v>
      </c>
      <c r="B144" s="14" t="s">
        <v>263</v>
      </c>
      <c r="C144" s="135" t="s">
        <v>437</v>
      </c>
      <c r="D144" s="136"/>
      <c r="E144" s="136"/>
      <c r="F144" s="136"/>
      <c r="G144" s="14" t="s">
        <v>506</v>
      </c>
      <c r="H144" s="26">
        <v>0.1</v>
      </c>
      <c r="I144" s="26">
        <v>0</v>
      </c>
      <c r="J144" s="26">
        <f>H144*AO144</f>
        <v>0</v>
      </c>
      <c r="K144" s="26">
        <f>H144*AP144</f>
        <v>0</v>
      </c>
      <c r="L144" s="26">
        <f>H144*I144</f>
        <v>0</v>
      </c>
      <c r="M144" s="26">
        <v>0</v>
      </c>
      <c r="N144" s="49">
        <f>H144*144</f>
        <v>14.4</v>
      </c>
      <c r="O144" s="6"/>
      <c r="Z144" s="40">
        <f>IF(AQ144="5",BJ144,0)</f>
        <v>0</v>
      </c>
      <c r="AB144" s="40">
        <f>IF(AQ144="1",BH144,0)</f>
        <v>0</v>
      </c>
      <c r="AC144" s="40">
        <f>IF(AQ144="1",BI144,0)</f>
        <v>0</v>
      </c>
      <c r="AD144" s="40">
        <f>IF(AQ144="7",BH144,0)</f>
        <v>0</v>
      </c>
      <c r="AE144" s="40">
        <f>IF(AQ144="7",BI144,0)</f>
        <v>0</v>
      </c>
      <c r="AF144" s="40">
        <f>IF(AQ144="2",BH144,0)</f>
        <v>0</v>
      </c>
      <c r="AG144" s="40">
        <f>IF(AQ144="2",BI144,0)</f>
        <v>0</v>
      </c>
      <c r="AH144" s="40">
        <f>IF(AQ144="0",BJ144,0)</f>
        <v>0</v>
      </c>
      <c r="AI144" s="37"/>
      <c r="AJ144" s="26">
        <f>IF(AN144=0,L144,0)</f>
        <v>0</v>
      </c>
      <c r="AK144" s="26">
        <f>IF(AN144=15,L144,0)</f>
        <v>0</v>
      </c>
      <c r="AL144" s="26">
        <f>IF(AN144=21,L144,0)</f>
        <v>0</v>
      </c>
      <c r="AN144" s="40">
        <v>21</v>
      </c>
      <c r="AO144" s="40">
        <f>I144*0</f>
        <v>0</v>
      </c>
      <c r="AP144" s="40">
        <f>I144*(1-0)</f>
        <v>0</v>
      </c>
      <c r="AQ144" s="41" t="s">
        <v>11</v>
      </c>
      <c r="AV144" s="40">
        <f>AW144+AX144</f>
        <v>0</v>
      </c>
      <c r="AW144" s="40">
        <f>H144*AO144</f>
        <v>0</v>
      </c>
      <c r="AX144" s="40">
        <f>H144*AP144</f>
        <v>0</v>
      </c>
      <c r="AY144" s="43" t="s">
        <v>550</v>
      </c>
      <c r="AZ144" s="43" t="s">
        <v>567</v>
      </c>
      <c r="BA144" s="37" t="s">
        <v>568</v>
      </c>
      <c r="BC144" s="40">
        <f>AW144+AX144</f>
        <v>0</v>
      </c>
      <c r="BD144" s="40">
        <f>I144/(100-BE144)*100</f>
        <v>0</v>
      </c>
      <c r="BE144" s="40">
        <v>0</v>
      </c>
      <c r="BF144" s="40">
        <f>N144</f>
        <v>14.4</v>
      </c>
      <c r="BH144" s="26">
        <f>H144*AO144</f>
        <v>0</v>
      </c>
      <c r="BI144" s="26">
        <f>H144*AP144</f>
        <v>0</v>
      </c>
      <c r="BJ144" s="26">
        <f>H144*I144</f>
        <v>0</v>
      </c>
      <c r="BK144" s="26" t="s">
        <v>573</v>
      </c>
      <c r="BL144" s="40" t="s">
        <v>261</v>
      </c>
    </row>
    <row r="145" spans="1:64" x14ac:dyDescent="0.25">
      <c r="A145" s="5"/>
      <c r="B145" s="15" t="s">
        <v>264</v>
      </c>
      <c r="C145" s="137" t="s">
        <v>438</v>
      </c>
      <c r="D145" s="138"/>
      <c r="E145" s="138"/>
      <c r="F145" s="138"/>
      <c r="G145" s="24" t="s">
        <v>6</v>
      </c>
      <c r="H145" s="24" t="s">
        <v>6</v>
      </c>
      <c r="I145" s="24" t="s">
        <v>6</v>
      </c>
      <c r="J145" s="46">
        <f>SUM(J146:J147)</f>
        <v>0</v>
      </c>
      <c r="K145" s="46">
        <f>SUM(K146:K147)</f>
        <v>0</v>
      </c>
      <c r="L145" s="46">
        <f>SUM(L146:L147)</f>
        <v>0</v>
      </c>
      <c r="M145" s="37"/>
      <c r="N145" s="50">
        <f>SUM(N146:N147)</f>
        <v>35.159999999999997</v>
      </c>
      <c r="O145" s="6"/>
      <c r="AI145" s="37"/>
      <c r="AS145" s="46">
        <f>SUM(AJ146:AJ147)</f>
        <v>0</v>
      </c>
      <c r="AT145" s="46">
        <f>SUM(AK146:AK147)</f>
        <v>0</v>
      </c>
      <c r="AU145" s="46">
        <f>SUM(AL146:AL147)</f>
        <v>0</v>
      </c>
    </row>
    <row r="146" spans="1:64" x14ac:dyDescent="0.25">
      <c r="A146" s="4" t="s">
        <v>111</v>
      </c>
      <c r="B146" s="14" t="s">
        <v>265</v>
      </c>
      <c r="C146" s="135" t="s">
        <v>439</v>
      </c>
      <c r="D146" s="136"/>
      <c r="E146" s="136"/>
      <c r="F146" s="136"/>
      <c r="G146" s="14" t="s">
        <v>506</v>
      </c>
      <c r="H146" s="26">
        <v>0.12</v>
      </c>
      <c r="I146" s="26">
        <v>0</v>
      </c>
      <c r="J146" s="26">
        <f>H146*AO146</f>
        <v>0</v>
      </c>
      <c r="K146" s="26">
        <f>H146*AP146</f>
        <v>0</v>
      </c>
      <c r="L146" s="26">
        <f>H146*I146</f>
        <v>0</v>
      </c>
      <c r="M146" s="26">
        <v>0</v>
      </c>
      <c r="N146" s="49">
        <f>H146*146</f>
        <v>17.52</v>
      </c>
      <c r="O146" s="6"/>
      <c r="Z146" s="40">
        <f>IF(AQ146="5",BJ146,0)</f>
        <v>0</v>
      </c>
      <c r="AB146" s="40">
        <f>IF(AQ146="1",BH146,0)</f>
        <v>0</v>
      </c>
      <c r="AC146" s="40">
        <f>IF(AQ146="1",BI146,0)</f>
        <v>0</v>
      </c>
      <c r="AD146" s="40">
        <f>IF(AQ146="7",BH146,0)</f>
        <v>0</v>
      </c>
      <c r="AE146" s="40">
        <f>IF(AQ146="7",BI146,0)</f>
        <v>0</v>
      </c>
      <c r="AF146" s="40">
        <f>IF(AQ146="2",BH146,0)</f>
        <v>0</v>
      </c>
      <c r="AG146" s="40">
        <f>IF(AQ146="2",BI146,0)</f>
        <v>0</v>
      </c>
      <c r="AH146" s="40">
        <f>IF(AQ146="0",BJ146,0)</f>
        <v>0</v>
      </c>
      <c r="AI146" s="37"/>
      <c r="AJ146" s="26">
        <f>IF(AN146=0,L146,0)</f>
        <v>0</v>
      </c>
      <c r="AK146" s="26">
        <f>IF(AN146=15,L146,0)</f>
        <v>0</v>
      </c>
      <c r="AL146" s="26">
        <f>IF(AN146=21,L146,0)</f>
        <v>0</v>
      </c>
      <c r="AN146" s="40">
        <v>21</v>
      </c>
      <c r="AO146" s="40">
        <f>I146*0</f>
        <v>0</v>
      </c>
      <c r="AP146" s="40">
        <f>I146*(1-0)</f>
        <v>0</v>
      </c>
      <c r="AQ146" s="41" t="s">
        <v>11</v>
      </c>
      <c r="AV146" s="40">
        <f>AW146+AX146</f>
        <v>0</v>
      </c>
      <c r="AW146" s="40">
        <f>H146*AO146</f>
        <v>0</v>
      </c>
      <c r="AX146" s="40">
        <f>H146*AP146</f>
        <v>0</v>
      </c>
      <c r="AY146" s="43" t="s">
        <v>551</v>
      </c>
      <c r="AZ146" s="43" t="s">
        <v>567</v>
      </c>
      <c r="BA146" s="37" t="s">
        <v>568</v>
      </c>
      <c r="BC146" s="40">
        <f>AW146+AX146</f>
        <v>0</v>
      </c>
      <c r="BD146" s="40">
        <f>I146/(100-BE146)*100</f>
        <v>0</v>
      </c>
      <c r="BE146" s="40">
        <v>0</v>
      </c>
      <c r="BF146" s="40">
        <f>N146</f>
        <v>17.52</v>
      </c>
      <c r="BH146" s="26">
        <f>H146*AO146</f>
        <v>0</v>
      </c>
      <c r="BI146" s="26">
        <f>H146*AP146</f>
        <v>0</v>
      </c>
      <c r="BJ146" s="26">
        <f>H146*I146</f>
        <v>0</v>
      </c>
      <c r="BK146" s="26" t="s">
        <v>573</v>
      </c>
      <c r="BL146" s="40" t="s">
        <v>264</v>
      </c>
    </row>
    <row r="147" spans="1:64" x14ac:dyDescent="0.25">
      <c r="A147" s="4" t="s">
        <v>112</v>
      </c>
      <c r="B147" s="14" t="s">
        <v>266</v>
      </c>
      <c r="C147" s="135" t="s">
        <v>440</v>
      </c>
      <c r="D147" s="136"/>
      <c r="E147" s="136"/>
      <c r="F147" s="136"/>
      <c r="G147" s="14" t="s">
        <v>506</v>
      </c>
      <c r="H147" s="26">
        <v>0.12</v>
      </c>
      <c r="I147" s="26">
        <v>0</v>
      </c>
      <c r="J147" s="26">
        <f>H147*AO147</f>
        <v>0</v>
      </c>
      <c r="K147" s="26">
        <f>H147*AP147</f>
        <v>0</v>
      </c>
      <c r="L147" s="26">
        <f>H147*I147</f>
        <v>0</v>
      </c>
      <c r="M147" s="26">
        <v>0</v>
      </c>
      <c r="N147" s="49">
        <f>H147*147</f>
        <v>17.64</v>
      </c>
      <c r="O147" s="6"/>
      <c r="Z147" s="40">
        <f>IF(AQ147="5",BJ147,0)</f>
        <v>0</v>
      </c>
      <c r="AB147" s="40">
        <f>IF(AQ147="1",BH147,0)</f>
        <v>0</v>
      </c>
      <c r="AC147" s="40">
        <f>IF(AQ147="1",BI147,0)</f>
        <v>0</v>
      </c>
      <c r="AD147" s="40">
        <f>IF(AQ147="7",BH147,0)</f>
        <v>0</v>
      </c>
      <c r="AE147" s="40">
        <f>IF(AQ147="7",BI147,0)</f>
        <v>0</v>
      </c>
      <c r="AF147" s="40">
        <f>IF(AQ147="2",BH147,0)</f>
        <v>0</v>
      </c>
      <c r="AG147" s="40">
        <f>IF(AQ147="2",BI147,0)</f>
        <v>0</v>
      </c>
      <c r="AH147" s="40">
        <f>IF(AQ147="0",BJ147,0)</f>
        <v>0</v>
      </c>
      <c r="AI147" s="37"/>
      <c r="AJ147" s="26">
        <f>IF(AN147=0,L147,0)</f>
        <v>0</v>
      </c>
      <c r="AK147" s="26">
        <f>IF(AN147=15,L147,0)</f>
        <v>0</v>
      </c>
      <c r="AL147" s="26">
        <f>IF(AN147=21,L147,0)</f>
        <v>0</v>
      </c>
      <c r="AN147" s="40">
        <v>21</v>
      </c>
      <c r="AO147" s="40">
        <f>I147*0</f>
        <v>0</v>
      </c>
      <c r="AP147" s="40">
        <f>I147*(1-0)</f>
        <v>0</v>
      </c>
      <c r="AQ147" s="41" t="s">
        <v>11</v>
      </c>
      <c r="AV147" s="40">
        <f>AW147+AX147</f>
        <v>0</v>
      </c>
      <c r="AW147" s="40">
        <f>H147*AO147</f>
        <v>0</v>
      </c>
      <c r="AX147" s="40">
        <f>H147*AP147</f>
        <v>0</v>
      </c>
      <c r="AY147" s="43" t="s">
        <v>551</v>
      </c>
      <c r="AZ147" s="43" t="s">
        <v>567</v>
      </c>
      <c r="BA147" s="37" t="s">
        <v>568</v>
      </c>
      <c r="BC147" s="40">
        <f>AW147+AX147</f>
        <v>0</v>
      </c>
      <c r="BD147" s="40">
        <f>I147/(100-BE147)*100</f>
        <v>0</v>
      </c>
      <c r="BE147" s="40">
        <v>0</v>
      </c>
      <c r="BF147" s="40">
        <f>N147</f>
        <v>17.64</v>
      </c>
      <c r="BH147" s="26">
        <f>H147*AO147</f>
        <v>0</v>
      </c>
      <c r="BI147" s="26">
        <f>H147*AP147</f>
        <v>0</v>
      </c>
      <c r="BJ147" s="26">
        <f>H147*I147</f>
        <v>0</v>
      </c>
      <c r="BK147" s="26" t="s">
        <v>573</v>
      </c>
      <c r="BL147" s="40" t="s">
        <v>264</v>
      </c>
    </row>
    <row r="148" spans="1:64" x14ac:dyDescent="0.25">
      <c r="A148" s="5"/>
      <c r="B148" s="15" t="s">
        <v>267</v>
      </c>
      <c r="C148" s="137" t="s">
        <v>441</v>
      </c>
      <c r="D148" s="138"/>
      <c r="E148" s="138"/>
      <c r="F148" s="138"/>
      <c r="G148" s="24" t="s">
        <v>6</v>
      </c>
      <c r="H148" s="24" t="s">
        <v>6</v>
      </c>
      <c r="I148" s="24" t="s">
        <v>6</v>
      </c>
      <c r="J148" s="46">
        <f>SUM(J149:J151)</f>
        <v>0</v>
      </c>
      <c r="K148" s="46">
        <f>SUM(K149:K151)</f>
        <v>0</v>
      </c>
      <c r="L148" s="46">
        <f>SUM(L149:L151)</f>
        <v>0</v>
      </c>
      <c r="M148" s="37"/>
      <c r="N148" s="50">
        <f>SUM(N149:N151)</f>
        <v>2490.15</v>
      </c>
      <c r="O148" s="6"/>
      <c r="AI148" s="37"/>
      <c r="AS148" s="46">
        <f>SUM(AJ149:AJ151)</f>
        <v>0</v>
      </c>
      <c r="AT148" s="46">
        <f>SUM(AK149:AK151)</f>
        <v>0</v>
      </c>
      <c r="AU148" s="46">
        <f>SUM(AL149:AL151)</f>
        <v>0</v>
      </c>
    </row>
    <row r="149" spans="1:64" x14ac:dyDescent="0.25">
      <c r="A149" s="4" t="s">
        <v>113</v>
      </c>
      <c r="B149" s="14" t="s">
        <v>268</v>
      </c>
      <c r="C149" s="135" t="s">
        <v>442</v>
      </c>
      <c r="D149" s="136"/>
      <c r="E149" s="136"/>
      <c r="F149" s="136"/>
      <c r="G149" s="14" t="s">
        <v>507</v>
      </c>
      <c r="H149" s="26">
        <v>8</v>
      </c>
      <c r="I149" s="26">
        <v>0</v>
      </c>
      <c r="J149" s="26">
        <f>H149*AO149</f>
        <v>0</v>
      </c>
      <c r="K149" s="26">
        <f>H149*AP149</f>
        <v>0</v>
      </c>
      <c r="L149" s="26">
        <f>H149*I149</f>
        <v>0</v>
      </c>
      <c r="M149" s="26">
        <v>0</v>
      </c>
      <c r="N149" s="49">
        <f>H149*149</f>
        <v>1192</v>
      </c>
      <c r="O149" s="6"/>
      <c r="Z149" s="40">
        <f>IF(AQ149="5",BJ149,0)</f>
        <v>0</v>
      </c>
      <c r="AB149" s="40">
        <f>IF(AQ149="1",BH149,0)</f>
        <v>0</v>
      </c>
      <c r="AC149" s="40">
        <f>IF(AQ149="1",BI149,0)</f>
        <v>0</v>
      </c>
      <c r="AD149" s="40">
        <f>IF(AQ149="7",BH149,0)</f>
        <v>0</v>
      </c>
      <c r="AE149" s="40">
        <f>IF(AQ149="7",BI149,0)</f>
        <v>0</v>
      </c>
      <c r="AF149" s="40">
        <f>IF(AQ149="2",BH149,0)</f>
        <v>0</v>
      </c>
      <c r="AG149" s="40">
        <f>IF(AQ149="2",BI149,0)</f>
        <v>0</v>
      </c>
      <c r="AH149" s="40">
        <f>IF(AQ149="0",BJ149,0)</f>
        <v>0</v>
      </c>
      <c r="AI149" s="37"/>
      <c r="AJ149" s="26">
        <f>IF(AN149=0,L149,0)</f>
        <v>0</v>
      </c>
      <c r="AK149" s="26">
        <f>IF(AN149=15,L149,0)</f>
        <v>0</v>
      </c>
      <c r="AL149" s="26">
        <f>IF(AN149=21,L149,0)</f>
        <v>0</v>
      </c>
      <c r="AN149" s="40">
        <v>21</v>
      </c>
      <c r="AO149" s="40">
        <f>I149*0</f>
        <v>0</v>
      </c>
      <c r="AP149" s="40">
        <f>I149*(1-0)</f>
        <v>0</v>
      </c>
      <c r="AQ149" s="41" t="s">
        <v>11</v>
      </c>
      <c r="AV149" s="40">
        <f>AW149+AX149</f>
        <v>0</v>
      </c>
      <c r="AW149" s="40">
        <f>H149*AO149</f>
        <v>0</v>
      </c>
      <c r="AX149" s="40">
        <f>H149*AP149</f>
        <v>0</v>
      </c>
      <c r="AY149" s="43" t="s">
        <v>552</v>
      </c>
      <c r="AZ149" s="43" t="s">
        <v>567</v>
      </c>
      <c r="BA149" s="37" t="s">
        <v>568</v>
      </c>
      <c r="BC149" s="40">
        <f>AW149+AX149</f>
        <v>0</v>
      </c>
      <c r="BD149" s="40">
        <f>I149/(100-BE149)*100</f>
        <v>0</v>
      </c>
      <c r="BE149" s="40">
        <v>0</v>
      </c>
      <c r="BF149" s="40">
        <f>N149</f>
        <v>1192</v>
      </c>
      <c r="BH149" s="26">
        <f>H149*AO149</f>
        <v>0</v>
      </c>
      <c r="BI149" s="26">
        <f>H149*AP149</f>
        <v>0</v>
      </c>
      <c r="BJ149" s="26">
        <f>H149*I149</f>
        <v>0</v>
      </c>
      <c r="BK149" s="26" t="s">
        <v>573</v>
      </c>
      <c r="BL149" s="40" t="s">
        <v>267</v>
      </c>
    </row>
    <row r="150" spans="1:64" x14ac:dyDescent="0.25">
      <c r="A150" s="4" t="s">
        <v>114</v>
      </c>
      <c r="B150" s="14" t="s">
        <v>269</v>
      </c>
      <c r="C150" s="135" t="s">
        <v>443</v>
      </c>
      <c r="D150" s="136"/>
      <c r="E150" s="136"/>
      <c r="F150" s="136"/>
      <c r="G150" s="14" t="s">
        <v>508</v>
      </c>
      <c r="H150" s="26">
        <v>8</v>
      </c>
      <c r="I150" s="26">
        <v>0</v>
      </c>
      <c r="J150" s="26">
        <f>H150*AO150</f>
        <v>0</v>
      </c>
      <c r="K150" s="26">
        <f>H150*AP150</f>
        <v>0</v>
      </c>
      <c r="L150" s="26">
        <f>H150*I150</f>
        <v>0</v>
      </c>
      <c r="M150" s="26">
        <v>0</v>
      </c>
      <c r="N150" s="49">
        <f>H150*150</f>
        <v>1200</v>
      </c>
      <c r="O150" s="6"/>
      <c r="Z150" s="40">
        <f>IF(AQ150="5",BJ150,0)</f>
        <v>0</v>
      </c>
      <c r="AB150" s="40">
        <f>IF(AQ150="1",BH150,0)</f>
        <v>0</v>
      </c>
      <c r="AC150" s="40">
        <f>IF(AQ150="1",BI150,0)</f>
        <v>0</v>
      </c>
      <c r="AD150" s="40">
        <f>IF(AQ150="7",BH150,0)</f>
        <v>0</v>
      </c>
      <c r="AE150" s="40">
        <f>IF(AQ150="7",BI150,0)</f>
        <v>0</v>
      </c>
      <c r="AF150" s="40">
        <f>IF(AQ150="2",BH150,0)</f>
        <v>0</v>
      </c>
      <c r="AG150" s="40">
        <f>IF(AQ150="2",BI150,0)</f>
        <v>0</v>
      </c>
      <c r="AH150" s="40">
        <f>IF(AQ150="0",BJ150,0)</f>
        <v>0</v>
      </c>
      <c r="AI150" s="37"/>
      <c r="AJ150" s="26">
        <f>IF(AN150=0,L150,0)</f>
        <v>0</v>
      </c>
      <c r="AK150" s="26">
        <f>IF(AN150=15,L150,0)</f>
        <v>0</v>
      </c>
      <c r="AL150" s="26">
        <f>IF(AN150=21,L150,0)</f>
        <v>0</v>
      </c>
      <c r="AN150" s="40">
        <v>21</v>
      </c>
      <c r="AO150" s="40">
        <f>I150*0</f>
        <v>0</v>
      </c>
      <c r="AP150" s="40">
        <f>I150*(1-0)</f>
        <v>0</v>
      </c>
      <c r="AQ150" s="41" t="s">
        <v>11</v>
      </c>
      <c r="AV150" s="40">
        <f>AW150+AX150</f>
        <v>0</v>
      </c>
      <c r="AW150" s="40">
        <f>H150*AO150</f>
        <v>0</v>
      </c>
      <c r="AX150" s="40">
        <f>H150*AP150</f>
        <v>0</v>
      </c>
      <c r="AY150" s="43" t="s">
        <v>552</v>
      </c>
      <c r="AZ150" s="43" t="s">
        <v>567</v>
      </c>
      <c r="BA150" s="37" t="s">
        <v>568</v>
      </c>
      <c r="BC150" s="40">
        <f>AW150+AX150</f>
        <v>0</v>
      </c>
      <c r="BD150" s="40">
        <f>I150/(100-BE150)*100</f>
        <v>0</v>
      </c>
      <c r="BE150" s="40">
        <v>0</v>
      </c>
      <c r="BF150" s="40">
        <f>N150</f>
        <v>1200</v>
      </c>
      <c r="BH150" s="26">
        <f>H150*AO150</f>
        <v>0</v>
      </c>
      <c r="BI150" s="26">
        <f>H150*AP150</f>
        <v>0</v>
      </c>
      <c r="BJ150" s="26">
        <f>H150*I150</f>
        <v>0</v>
      </c>
      <c r="BK150" s="26" t="s">
        <v>573</v>
      </c>
      <c r="BL150" s="40" t="s">
        <v>267</v>
      </c>
    </row>
    <row r="151" spans="1:64" x14ac:dyDescent="0.25">
      <c r="A151" s="4" t="s">
        <v>115</v>
      </c>
      <c r="B151" s="14" t="s">
        <v>270</v>
      </c>
      <c r="C151" s="135" t="s">
        <v>444</v>
      </c>
      <c r="D151" s="136"/>
      <c r="E151" s="136"/>
      <c r="F151" s="136"/>
      <c r="G151" s="14" t="s">
        <v>506</v>
      </c>
      <c r="H151" s="26">
        <v>0.65</v>
      </c>
      <c r="I151" s="26">
        <v>0</v>
      </c>
      <c r="J151" s="26">
        <f>H151*AO151</f>
        <v>0</v>
      </c>
      <c r="K151" s="26">
        <f>H151*AP151</f>
        <v>0</v>
      </c>
      <c r="L151" s="26">
        <f>H151*I151</f>
        <v>0</v>
      </c>
      <c r="M151" s="26">
        <v>0</v>
      </c>
      <c r="N151" s="49">
        <f>H151*151</f>
        <v>98.15</v>
      </c>
      <c r="O151" s="6"/>
      <c r="Z151" s="40">
        <f>IF(AQ151="5",BJ151,0)</f>
        <v>0</v>
      </c>
      <c r="AB151" s="40">
        <f>IF(AQ151="1",BH151,0)</f>
        <v>0</v>
      </c>
      <c r="AC151" s="40">
        <f>IF(AQ151="1",BI151,0)</f>
        <v>0</v>
      </c>
      <c r="AD151" s="40">
        <f>IF(AQ151="7",BH151,0)</f>
        <v>0</v>
      </c>
      <c r="AE151" s="40">
        <f>IF(AQ151="7",BI151,0)</f>
        <v>0</v>
      </c>
      <c r="AF151" s="40">
        <f>IF(AQ151="2",BH151,0)</f>
        <v>0</v>
      </c>
      <c r="AG151" s="40">
        <f>IF(AQ151="2",BI151,0)</f>
        <v>0</v>
      </c>
      <c r="AH151" s="40">
        <f>IF(AQ151="0",BJ151,0)</f>
        <v>0</v>
      </c>
      <c r="AI151" s="37"/>
      <c r="AJ151" s="26">
        <f>IF(AN151=0,L151,0)</f>
        <v>0</v>
      </c>
      <c r="AK151" s="26">
        <f>IF(AN151=15,L151,0)</f>
        <v>0</v>
      </c>
      <c r="AL151" s="26">
        <f>IF(AN151=21,L151,0)</f>
        <v>0</v>
      </c>
      <c r="AN151" s="40">
        <v>21</v>
      </c>
      <c r="AO151" s="40">
        <f>I151*0</f>
        <v>0</v>
      </c>
      <c r="AP151" s="40">
        <f>I151*(1-0)</f>
        <v>0</v>
      </c>
      <c r="AQ151" s="41" t="s">
        <v>11</v>
      </c>
      <c r="AV151" s="40">
        <f>AW151+AX151</f>
        <v>0</v>
      </c>
      <c r="AW151" s="40">
        <f>H151*AO151</f>
        <v>0</v>
      </c>
      <c r="AX151" s="40">
        <f>H151*AP151</f>
        <v>0</v>
      </c>
      <c r="AY151" s="43" t="s">
        <v>552</v>
      </c>
      <c r="AZ151" s="43" t="s">
        <v>567</v>
      </c>
      <c r="BA151" s="37" t="s">
        <v>568</v>
      </c>
      <c r="BC151" s="40">
        <f>AW151+AX151</f>
        <v>0</v>
      </c>
      <c r="BD151" s="40">
        <f>I151/(100-BE151)*100</f>
        <v>0</v>
      </c>
      <c r="BE151" s="40">
        <v>0</v>
      </c>
      <c r="BF151" s="40">
        <f>N151</f>
        <v>98.15</v>
      </c>
      <c r="BH151" s="26">
        <f>H151*AO151</f>
        <v>0</v>
      </c>
      <c r="BI151" s="26">
        <f>H151*AP151</f>
        <v>0</v>
      </c>
      <c r="BJ151" s="26">
        <f>H151*I151</f>
        <v>0</v>
      </c>
      <c r="BK151" s="26" t="s">
        <v>573</v>
      </c>
      <c r="BL151" s="40" t="s">
        <v>267</v>
      </c>
    </row>
    <row r="152" spans="1:64" x14ac:dyDescent="0.25">
      <c r="A152" s="5"/>
      <c r="B152" s="15" t="s">
        <v>271</v>
      </c>
      <c r="C152" s="137" t="s">
        <v>445</v>
      </c>
      <c r="D152" s="138"/>
      <c r="E152" s="138"/>
      <c r="F152" s="138"/>
      <c r="G152" s="24" t="s">
        <v>6</v>
      </c>
      <c r="H152" s="24" t="s">
        <v>6</v>
      </c>
      <c r="I152" s="24" t="s">
        <v>6</v>
      </c>
      <c r="J152" s="46">
        <f>SUM(J153:J156)</f>
        <v>0</v>
      </c>
      <c r="K152" s="46">
        <f>SUM(K153:K156)</f>
        <v>0</v>
      </c>
      <c r="L152" s="46">
        <f>SUM(L153:L156)</f>
        <v>0</v>
      </c>
      <c r="M152" s="37"/>
      <c r="N152" s="50">
        <f>SUM(N153:N156)</f>
        <v>771</v>
      </c>
      <c r="O152" s="6"/>
      <c r="AI152" s="37"/>
      <c r="AS152" s="46">
        <f>SUM(AJ153:AJ156)</f>
        <v>0</v>
      </c>
      <c r="AT152" s="46">
        <f>SUM(AK153:AK156)</f>
        <v>0</v>
      </c>
      <c r="AU152" s="46">
        <f>SUM(AL153:AL156)</f>
        <v>0</v>
      </c>
    </row>
    <row r="153" spans="1:64" x14ac:dyDescent="0.25">
      <c r="A153" s="4" t="s">
        <v>116</v>
      </c>
      <c r="B153" s="14" t="s">
        <v>272</v>
      </c>
      <c r="C153" s="135" t="s">
        <v>446</v>
      </c>
      <c r="D153" s="136"/>
      <c r="E153" s="136"/>
      <c r="F153" s="136"/>
      <c r="G153" s="14" t="s">
        <v>500</v>
      </c>
      <c r="H153" s="26">
        <v>2</v>
      </c>
      <c r="I153" s="26">
        <v>0</v>
      </c>
      <c r="J153" s="26">
        <f>H153*AO153</f>
        <v>0</v>
      </c>
      <c r="K153" s="26">
        <f>H153*AP153</f>
        <v>0</v>
      </c>
      <c r="L153" s="26">
        <f>H153*I153</f>
        <v>0</v>
      </c>
      <c r="M153" s="26">
        <v>0</v>
      </c>
      <c r="N153" s="49">
        <f>H153*153</f>
        <v>306</v>
      </c>
      <c r="O153" s="6"/>
      <c r="Z153" s="40">
        <f>IF(AQ153="5",BJ153,0)</f>
        <v>0</v>
      </c>
      <c r="AB153" s="40">
        <f>IF(AQ153="1",BH153,0)</f>
        <v>0</v>
      </c>
      <c r="AC153" s="40">
        <f>IF(AQ153="1",BI153,0)</f>
        <v>0</v>
      </c>
      <c r="AD153" s="40">
        <f>IF(AQ153="7",BH153,0)</f>
        <v>0</v>
      </c>
      <c r="AE153" s="40">
        <f>IF(AQ153="7",BI153,0)</f>
        <v>0</v>
      </c>
      <c r="AF153" s="40">
        <f>IF(AQ153="2",BH153,0)</f>
        <v>0</v>
      </c>
      <c r="AG153" s="40">
        <f>IF(AQ153="2",BI153,0)</f>
        <v>0</v>
      </c>
      <c r="AH153" s="40">
        <f>IF(AQ153="0",BJ153,0)</f>
        <v>0</v>
      </c>
      <c r="AI153" s="37"/>
      <c r="AJ153" s="26">
        <f>IF(AN153=0,L153,0)</f>
        <v>0</v>
      </c>
      <c r="AK153" s="26">
        <f>IF(AN153=15,L153,0)</f>
        <v>0</v>
      </c>
      <c r="AL153" s="26">
        <f>IF(AN153=21,L153,0)</f>
        <v>0</v>
      </c>
      <c r="AN153" s="40">
        <v>21</v>
      </c>
      <c r="AO153" s="40">
        <f>I153*0</f>
        <v>0</v>
      </c>
      <c r="AP153" s="40">
        <f>I153*(1-0)</f>
        <v>0</v>
      </c>
      <c r="AQ153" s="41" t="s">
        <v>8</v>
      </c>
      <c r="AV153" s="40">
        <f>AW153+AX153</f>
        <v>0</v>
      </c>
      <c r="AW153" s="40">
        <f>H153*AO153</f>
        <v>0</v>
      </c>
      <c r="AX153" s="40">
        <f>H153*AP153</f>
        <v>0</v>
      </c>
      <c r="AY153" s="43" t="s">
        <v>553</v>
      </c>
      <c r="AZ153" s="43" t="s">
        <v>567</v>
      </c>
      <c r="BA153" s="37" t="s">
        <v>568</v>
      </c>
      <c r="BC153" s="40">
        <f>AW153+AX153</f>
        <v>0</v>
      </c>
      <c r="BD153" s="40">
        <f>I153/(100-BE153)*100</f>
        <v>0</v>
      </c>
      <c r="BE153" s="40">
        <v>0</v>
      </c>
      <c r="BF153" s="40">
        <f>N153</f>
        <v>306</v>
      </c>
      <c r="BH153" s="26">
        <f>H153*AO153</f>
        <v>0</v>
      </c>
      <c r="BI153" s="26">
        <f>H153*AP153</f>
        <v>0</v>
      </c>
      <c r="BJ153" s="26">
        <f>H153*I153</f>
        <v>0</v>
      </c>
      <c r="BK153" s="26" t="s">
        <v>573</v>
      </c>
      <c r="BL153" s="40" t="s">
        <v>271</v>
      </c>
    </row>
    <row r="154" spans="1:64" x14ac:dyDescent="0.25">
      <c r="A154" s="4" t="s">
        <v>117</v>
      </c>
      <c r="B154" s="14" t="s">
        <v>175</v>
      </c>
      <c r="C154" s="135" t="s">
        <v>447</v>
      </c>
      <c r="D154" s="136"/>
      <c r="E154" s="136"/>
      <c r="F154" s="136"/>
      <c r="G154" s="14" t="s">
        <v>500</v>
      </c>
      <c r="H154" s="26">
        <v>1</v>
      </c>
      <c r="I154" s="26">
        <v>0</v>
      </c>
      <c r="J154" s="26">
        <f>H154*AO154</f>
        <v>0</v>
      </c>
      <c r="K154" s="26">
        <f>H154*AP154</f>
        <v>0</v>
      </c>
      <c r="L154" s="26">
        <f>H154*I154</f>
        <v>0</v>
      </c>
      <c r="M154" s="26">
        <v>0</v>
      </c>
      <c r="N154" s="49">
        <f>H154*154</f>
        <v>154</v>
      </c>
      <c r="O154" s="6"/>
      <c r="Z154" s="40">
        <f>IF(AQ154="5",BJ154,0)</f>
        <v>0</v>
      </c>
      <c r="AB154" s="40">
        <f>IF(AQ154="1",BH154,0)</f>
        <v>0</v>
      </c>
      <c r="AC154" s="40">
        <f>IF(AQ154="1",BI154,0)</f>
        <v>0</v>
      </c>
      <c r="AD154" s="40">
        <f>IF(AQ154="7",BH154,0)</f>
        <v>0</v>
      </c>
      <c r="AE154" s="40">
        <f>IF(AQ154="7",BI154,0)</f>
        <v>0</v>
      </c>
      <c r="AF154" s="40">
        <f>IF(AQ154="2",BH154,0)</f>
        <v>0</v>
      </c>
      <c r="AG154" s="40">
        <f>IF(AQ154="2",BI154,0)</f>
        <v>0</v>
      </c>
      <c r="AH154" s="40">
        <f>IF(AQ154="0",BJ154,0)</f>
        <v>0</v>
      </c>
      <c r="AI154" s="37"/>
      <c r="AJ154" s="26">
        <f>IF(AN154=0,L154,0)</f>
        <v>0</v>
      </c>
      <c r="AK154" s="26">
        <f>IF(AN154=15,L154,0)</f>
        <v>0</v>
      </c>
      <c r="AL154" s="26">
        <f>IF(AN154=21,L154,0)</f>
        <v>0</v>
      </c>
      <c r="AN154" s="40">
        <v>21</v>
      </c>
      <c r="AO154" s="40">
        <f>I154*0</f>
        <v>0</v>
      </c>
      <c r="AP154" s="40">
        <f>I154*(1-0)</f>
        <v>0</v>
      </c>
      <c r="AQ154" s="41" t="s">
        <v>7</v>
      </c>
      <c r="AV154" s="40">
        <f>AW154+AX154</f>
        <v>0</v>
      </c>
      <c r="AW154" s="40">
        <f>H154*AO154</f>
        <v>0</v>
      </c>
      <c r="AX154" s="40">
        <f>H154*AP154</f>
        <v>0</v>
      </c>
      <c r="AY154" s="43" t="s">
        <v>553</v>
      </c>
      <c r="AZ154" s="43" t="s">
        <v>567</v>
      </c>
      <c r="BA154" s="37" t="s">
        <v>568</v>
      </c>
      <c r="BC154" s="40">
        <f>AW154+AX154</f>
        <v>0</v>
      </c>
      <c r="BD154" s="40">
        <f>I154/(100-BE154)*100</f>
        <v>0</v>
      </c>
      <c r="BE154" s="40">
        <v>0</v>
      </c>
      <c r="BF154" s="40">
        <f>N154</f>
        <v>154</v>
      </c>
      <c r="BH154" s="26">
        <f>H154*AO154</f>
        <v>0</v>
      </c>
      <c r="BI154" s="26">
        <f>H154*AP154</f>
        <v>0</v>
      </c>
      <c r="BJ154" s="26">
        <f>H154*I154</f>
        <v>0</v>
      </c>
      <c r="BK154" s="26" t="s">
        <v>573</v>
      </c>
      <c r="BL154" s="40" t="s">
        <v>271</v>
      </c>
    </row>
    <row r="155" spans="1:64" x14ac:dyDescent="0.25">
      <c r="A155" s="4" t="s">
        <v>118</v>
      </c>
      <c r="B155" s="14" t="s">
        <v>273</v>
      </c>
      <c r="C155" s="135" t="s">
        <v>448</v>
      </c>
      <c r="D155" s="136"/>
      <c r="E155" s="136"/>
      <c r="F155" s="136"/>
      <c r="G155" s="14" t="s">
        <v>500</v>
      </c>
      <c r="H155" s="26">
        <v>1</v>
      </c>
      <c r="I155" s="26">
        <v>0</v>
      </c>
      <c r="J155" s="26">
        <f>H155*AO155</f>
        <v>0</v>
      </c>
      <c r="K155" s="26">
        <f>H155*AP155</f>
        <v>0</v>
      </c>
      <c r="L155" s="26">
        <f>H155*I155</f>
        <v>0</v>
      </c>
      <c r="M155" s="26">
        <v>0</v>
      </c>
      <c r="N155" s="49">
        <f>H155*155</f>
        <v>155</v>
      </c>
      <c r="O155" s="6"/>
      <c r="Z155" s="40">
        <f>IF(AQ155="5",BJ155,0)</f>
        <v>0</v>
      </c>
      <c r="AB155" s="40">
        <f>IF(AQ155="1",BH155,0)</f>
        <v>0</v>
      </c>
      <c r="AC155" s="40">
        <f>IF(AQ155="1",BI155,0)</f>
        <v>0</v>
      </c>
      <c r="AD155" s="40">
        <f>IF(AQ155="7",BH155,0)</f>
        <v>0</v>
      </c>
      <c r="AE155" s="40">
        <f>IF(AQ155="7",BI155,0)</f>
        <v>0</v>
      </c>
      <c r="AF155" s="40">
        <f>IF(AQ155="2",BH155,0)</f>
        <v>0</v>
      </c>
      <c r="AG155" s="40">
        <f>IF(AQ155="2",BI155,0)</f>
        <v>0</v>
      </c>
      <c r="AH155" s="40">
        <f>IF(AQ155="0",BJ155,0)</f>
        <v>0</v>
      </c>
      <c r="AI155" s="37"/>
      <c r="AJ155" s="26">
        <f>IF(AN155=0,L155,0)</f>
        <v>0</v>
      </c>
      <c r="AK155" s="26">
        <f>IF(AN155=15,L155,0)</f>
        <v>0</v>
      </c>
      <c r="AL155" s="26">
        <f>IF(AN155=21,L155,0)</f>
        <v>0</v>
      </c>
      <c r="AN155" s="40">
        <v>21</v>
      </c>
      <c r="AO155" s="40">
        <f>I155*0</f>
        <v>0</v>
      </c>
      <c r="AP155" s="40">
        <f>I155*(1-0)</f>
        <v>0</v>
      </c>
      <c r="AQ155" s="41" t="s">
        <v>8</v>
      </c>
      <c r="AV155" s="40">
        <f>AW155+AX155</f>
        <v>0</v>
      </c>
      <c r="AW155" s="40">
        <f>H155*AO155</f>
        <v>0</v>
      </c>
      <c r="AX155" s="40">
        <f>H155*AP155</f>
        <v>0</v>
      </c>
      <c r="AY155" s="43" t="s">
        <v>553</v>
      </c>
      <c r="AZ155" s="43" t="s">
        <v>567</v>
      </c>
      <c r="BA155" s="37" t="s">
        <v>568</v>
      </c>
      <c r="BC155" s="40">
        <f>AW155+AX155</f>
        <v>0</v>
      </c>
      <c r="BD155" s="40">
        <f>I155/(100-BE155)*100</f>
        <v>0</v>
      </c>
      <c r="BE155" s="40">
        <v>0</v>
      </c>
      <c r="BF155" s="40">
        <f>N155</f>
        <v>155</v>
      </c>
      <c r="BH155" s="26">
        <f>H155*AO155</f>
        <v>0</v>
      </c>
      <c r="BI155" s="26">
        <f>H155*AP155</f>
        <v>0</v>
      </c>
      <c r="BJ155" s="26">
        <f>H155*I155</f>
        <v>0</v>
      </c>
      <c r="BK155" s="26" t="s">
        <v>573</v>
      </c>
      <c r="BL155" s="40" t="s">
        <v>271</v>
      </c>
    </row>
    <row r="156" spans="1:64" x14ac:dyDescent="0.25">
      <c r="A156" s="4" t="s">
        <v>119</v>
      </c>
      <c r="B156" s="14" t="s">
        <v>274</v>
      </c>
      <c r="C156" s="135" t="s">
        <v>449</v>
      </c>
      <c r="D156" s="136"/>
      <c r="E156" s="136"/>
      <c r="F156" s="136"/>
      <c r="G156" s="14" t="s">
        <v>500</v>
      </c>
      <c r="H156" s="26">
        <v>1</v>
      </c>
      <c r="I156" s="26">
        <v>0</v>
      </c>
      <c r="J156" s="26">
        <f>H156*AO156</f>
        <v>0</v>
      </c>
      <c r="K156" s="26">
        <f>H156*AP156</f>
        <v>0</v>
      </c>
      <c r="L156" s="26">
        <f>H156*I156</f>
        <v>0</v>
      </c>
      <c r="M156" s="26">
        <v>0</v>
      </c>
      <c r="N156" s="49">
        <f>H156*156</f>
        <v>156</v>
      </c>
      <c r="O156" s="6"/>
      <c r="Z156" s="40">
        <f>IF(AQ156="5",BJ156,0)</f>
        <v>0</v>
      </c>
      <c r="AB156" s="40">
        <f>IF(AQ156="1",BH156,0)</f>
        <v>0</v>
      </c>
      <c r="AC156" s="40">
        <f>IF(AQ156="1",BI156,0)</f>
        <v>0</v>
      </c>
      <c r="AD156" s="40">
        <f>IF(AQ156="7",BH156,0)</f>
        <v>0</v>
      </c>
      <c r="AE156" s="40">
        <f>IF(AQ156="7",BI156,0)</f>
        <v>0</v>
      </c>
      <c r="AF156" s="40">
        <f>IF(AQ156="2",BH156,0)</f>
        <v>0</v>
      </c>
      <c r="AG156" s="40">
        <f>IF(AQ156="2",BI156,0)</f>
        <v>0</v>
      </c>
      <c r="AH156" s="40">
        <f>IF(AQ156="0",BJ156,0)</f>
        <v>0</v>
      </c>
      <c r="AI156" s="37"/>
      <c r="AJ156" s="26">
        <f>IF(AN156=0,L156,0)</f>
        <v>0</v>
      </c>
      <c r="AK156" s="26">
        <f>IF(AN156=15,L156,0)</f>
        <v>0</v>
      </c>
      <c r="AL156" s="26">
        <f>IF(AN156=21,L156,0)</f>
        <v>0</v>
      </c>
      <c r="AN156" s="40">
        <v>21</v>
      </c>
      <c r="AO156" s="40">
        <f>I156*0</f>
        <v>0</v>
      </c>
      <c r="AP156" s="40">
        <f>I156*(1-0)</f>
        <v>0</v>
      </c>
      <c r="AQ156" s="41" t="s">
        <v>7</v>
      </c>
      <c r="AV156" s="40">
        <f>AW156+AX156</f>
        <v>0</v>
      </c>
      <c r="AW156" s="40">
        <f>H156*AO156</f>
        <v>0</v>
      </c>
      <c r="AX156" s="40">
        <f>H156*AP156</f>
        <v>0</v>
      </c>
      <c r="AY156" s="43" t="s">
        <v>553</v>
      </c>
      <c r="AZ156" s="43" t="s">
        <v>567</v>
      </c>
      <c r="BA156" s="37" t="s">
        <v>568</v>
      </c>
      <c r="BC156" s="40">
        <f>AW156+AX156</f>
        <v>0</v>
      </c>
      <c r="BD156" s="40">
        <f>I156/(100-BE156)*100</f>
        <v>0</v>
      </c>
      <c r="BE156" s="40">
        <v>0</v>
      </c>
      <c r="BF156" s="40">
        <f>N156</f>
        <v>156</v>
      </c>
      <c r="BH156" s="26">
        <f>H156*AO156</f>
        <v>0</v>
      </c>
      <c r="BI156" s="26">
        <f>H156*AP156</f>
        <v>0</v>
      </c>
      <c r="BJ156" s="26">
        <f>H156*I156</f>
        <v>0</v>
      </c>
      <c r="BK156" s="26" t="s">
        <v>573</v>
      </c>
      <c r="BL156" s="40" t="s">
        <v>271</v>
      </c>
    </row>
    <row r="157" spans="1:64" x14ac:dyDescent="0.25">
      <c r="A157" s="5"/>
      <c r="B157" s="15" t="s">
        <v>275</v>
      </c>
      <c r="C157" s="137" t="s">
        <v>450</v>
      </c>
      <c r="D157" s="138"/>
      <c r="E157" s="138"/>
      <c r="F157" s="138"/>
      <c r="G157" s="24" t="s">
        <v>6</v>
      </c>
      <c r="H157" s="24" t="s">
        <v>6</v>
      </c>
      <c r="I157" s="24" t="s">
        <v>6</v>
      </c>
      <c r="J157" s="46">
        <f>SUM(J158:J171)</f>
        <v>0</v>
      </c>
      <c r="K157" s="46">
        <f>SUM(K158:K171)</f>
        <v>0</v>
      </c>
      <c r="L157" s="46">
        <f>SUM(L158:L171)</f>
        <v>0</v>
      </c>
      <c r="M157" s="37"/>
      <c r="N157" s="50">
        <f>SUM(N158:N171)</f>
        <v>30759</v>
      </c>
      <c r="O157" s="6"/>
      <c r="AI157" s="37"/>
      <c r="AS157" s="46">
        <f>SUM(AJ158:AJ171)</f>
        <v>0</v>
      </c>
      <c r="AT157" s="46">
        <f>SUM(AK158:AK171)</f>
        <v>0</v>
      </c>
      <c r="AU157" s="46">
        <f>SUM(AL158:AL171)</f>
        <v>0</v>
      </c>
    </row>
    <row r="158" spans="1:64" x14ac:dyDescent="0.25">
      <c r="A158" s="4" t="s">
        <v>120</v>
      </c>
      <c r="B158" s="14" t="s">
        <v>276</v>
      </c>
      <c r="C158" s="135" t="s">
        <v>451</v>
      </c>
      <c r="D158" s="136"/>
      <c r="E158" s="136"/>
      <c r="F158" s="136"/>
      <c r="G158" s="14" t="s">
        <v>500</v>
      </c>
      <c r="H158" s="26">
        <v>1</v>
      </c>
      <c r="I158" s="26">
        <v>0</v>
      </c>
      <c r="J158" s="26">
        <f t="shared" ref="J158:J171" si="69">H158*AO158</f>
        <v>0</v>
      </c>
      <c r="K158" s="26">
        <f t="shared" ref="K158:K171" si="70">H158*AP158</f>
        <v>0</v>
      </c>
      <c r="L158" s="26">
        <f t="shared" ref="L158:L171" si="71">H158*I158</f>
        <v>0</v>
      </c>
      <c r="M158" s="26">
        <v>1E-3</v>
      </c>
      <c r="N158" s="49">
        <f>H158*158</f>
        <v>158</v>
      </c>
      <c r="O158" s="6"/>
      <c r="Z158" s="40">
        <f t="shared" ref="Z158:Z171" si="72">IF(AQ158="5",BJ158,0)</f>
        <v>0</v>
      </c>
      <c r="AB158" s="40">
        <f t="shared" ref="AB158:AB171" si="73">IF(AQ158="1",BH158,0)</f>
        <v>0</v>
      </c>
      <c r="AC158" s="40">
        <f t="shared" ref="AC158:AC171" si="74">IF(AQ158="1",BI158,0)</f>
        <v>0</v>
      </c>
      <c r="AD158" s="40">
        <f t="shared" ref="AD158:AD171" si="75">IF(AQ158="7",BH158,0)</f>
        <v>0</v>
      </c>
      <c r="AE158" s="40">
        <f t="shared" ref="AE158:AE171" si="76">IF(AQ158="7",BI158,0)</f>
        <v>0</v>
      </c>
      <c r="AF158" s="40">
        <f t="shared" ref="AF158:AF171" si="77">IF(AQ158="2",BH158,0)</f>
        <v>0</v>
      </c>
      <c r="AG158" s="40">
        <f t="shared" ref="AG158:AG171" si="78">IF(AQ158="2",BI158,0)</f>
        <v>0</v>
      </c>
      <c r="AH158" s="40">
        <f t="shared" ref="AH158:AH171" si="79">IF(AQ158="0",BJ158,0)</f>
        <v>0</v>
      </c>
      <c r="AI158" s="37"/>
      <c r="AJ158" s="26">
        <f t="shared" ref="AJ158:AJ171" si="80">IF(AN158=0,L158,0)</f>
        <v>0</v>
      </c>
      <c r="AK158" s="26">
        <f t="shared" ref="AK158:AK171" si="81">IF(AN158=15,L158,0)</f>
        <v>0</v>
      </c>
      <c r="AL158" s="26">
        <f t="shared" ref="AL158:AL171" si="82">IF(AN158=21,L158,0)</f>
        <v>0</v>
      </c>
      <c r="AN158" s="40">
        <v>21</v>
      </c>
      <c r="AO158" s="40">
        <f>I158*0.15353121801433</f>
        <v>0</v>
      </c>
      <c r="AP158" s="40">
        <f>I158*(1-0.15353121801433)</f>
        <v>0</v>
      </c>
      <c r="AQ158" s="41" t="s">
        <v>7</v>
      </c>
      <c r="AV158" s="40">
        <f t="shared" ref="AV158:AV171" si="83">AW158+AX158</f>
        <v>0</v>
      </c>
      <c r="AW158" s="40">
        <f t="shared" ref="AW158:AW171" si="84">H158*AO158</f>
        <v>0</v>
      </c>
      <c r="AX158" s="40">
        <f t="shared" ref="AX158:AX171" si="85">H158*AP158</f>
        <v>0</v>
      </c>
      <c r="AY158" s="43" t="s">
        <v>554</v>
      </c>
      <c r="AZ158" s="43" t="s">
        <v>567</v>
      </c>
      <c r="BA158" s="37" t="s">
        <v>568</v>
      </c>
      <c r="BC158" s="40">
        <f t="shared" ref="BC158:BC171" si="86">AW158+AX158</f>
        <v>0</v>
      </c>
      <c r="BD158" s="40">
        <f t="shared" ref="BD158:BD171" si="87">I158/(100-BE158)*100</f>
        <v>0</v>
      </c>
      <c r="BE158" s="40">
        <v>0</v>
      </c>
      <c r="BF158" s="40">
        <f t="shared" ref="BF158:BF171" si="88">N158</f>
        <v>158</v>
      </c>
      <c r="BH158" s="26">
        <f t="shared" ref="BH158:BH171" si="89">H158*AO158</f>
        <v>0</v>
      </c>
      <c r="BI158" s="26">
        <f t="shared" ref="BI158:BI171" si="90">H158*AP158</f>
        <v>0</v>
      </c>
      <c r="BJ158" s="26">
        <f t="shared" ref="BJ158:BJ171" si="91">H158*I158</f>
        <v>0</v>
      </c>
      <c r="BK158" s="26" t="s">
        <v>573</v>
      </c>
      <c r="BL158" s="40" t="s">
        <v>275</v>
      </c>
    </row>
    <row r="159" spans="1:64" x14ac:dyDescent="0.25">
      <c r="A159" s="4" t="s">
        <v>121</v>
      </c>
      <c r="B159" s="14" t="s">
        <v>277</v>
      </c>
      <c r="C159" s="135" t="s">
        <v>452</v>
      </c>
      <c r="D159" s="136"/>
      <c r="E159" s="136"/>
      <c r="F159" s="136"/>
      <c r="G159" s="14" t="s">
        <v>500</v>
      </c>
      <c r="H159" s="26">
        <v>8</v>
      </c>
      <c r="I159" s="26">
        <v>0</v>
      </c>
      <c r="J159" s="26">
        <f t="shared" si="69"/>
        <v>0</v>
      </c>
      <c r="K159" s="26">
        <f t="shared" si="70"/>
        <v>0</v>
      </c>
      <c r="L159" s="26">
        <f t="shared" si="71"/>
        <v>0</v>
      </c>
      <c r="M159" s="26">
        <v>0</v>
      </c>
      <c r="N159" s="49">
        <f>H159*159</f>
        <v>1272</v>
      </c>
      <c r="O159" s="6"/>
      <c r="Z159" s="40">
        <f t="shared" si="72"/>
        <v>0</v>
      </c>
      <c r="AB159" s="40">
        <f t="shared" si="73"/>
        <v>0</v>
      </c>
      <c r="AC159" s="40">
        <f t="shared" si="74"/>
        <v>0</v>
      </c>
      <c r="AD159" s="40">
        <f t="shared" si="75"/>
        <v>0</v>
      </c>
      <c r="AE159" s="40">
        <f t="shared" si="76"/>
        <v>0</v>
      </c>
      <c r="AF159" s="40">
        <f t="shared" si="77"/>
        <v>0</v>
      </c>
      <c r="AG159" s="40">
        <f t="shared" si="78"/>
        <v>0</v>
      </c>
      <c r="AH159" s="40">
        <f t="shared" si="79"/>
        <v>0</v>
      </c>
      <c r="AI159" s="37"/>
      <c r="AJ159" s="26">
        <f t="shared" si="80"/>
        <v>0</v>
      </c>
      <c r="AK159" s="26">
        <f t="shared" si="81"/>
        <v>0</v>
      </c>
      <c r="AL159" s="26">
        <f t="shared" si="82"/>
        <v>0</v>
      </c>
      <c r="AN159" s="40">
        <v>21</v>
      </c>
      <c r="AO159" s="40">
        <f>I159*0.0627943485086342</f>
        <v>0</v>
      </c>
      <c r="AP159" s="40">
        <f>I159*(1-0.0627943485086342)</f>
        <v>0</v>
      </c>
      <c r="AQ159" s="41" t="s">
        <v>8</v>
      </c>
      <c r="AV159" s="40">
        <f t="shared" si="83"/>
        <v>0</v>
      </c>
      <c r="AW159" s="40">
        <f t="shared" si="84"/>
        <v>0</v>
      </c>
      <c r="AX159" s="40">
        <f t="shared" si="85"/>
        <v>0</v>
      </c>
      <c r="AY159" s="43" t="s">
        <v>554</v>
      </c>
      <c r="AZ159" s="43" t="s">
        <v>567</v>
      </c>
      <c r="BA159" s="37" t="s">
        <v>568</v>
      </c>
      <c r="BC159" s="40">
        <f t="shared" si="86"/>
        <v>0</v>
      </c>
      <c r="BD159" s="40">
        <f t="shared" si="87"/>
        <v>0</v>
      </c>
      <c r="BE159" s="40">
        <v>0</v>
      </c>
      <c r="BF159" s="40">
        <f t="shared" si="88"/>
        <v>1272</v>
      </c>
      <c r="BH159" s="26">
        <f t="shared" si="89"/>
        <v>0</v>
      </c>
      <c r="BI159" s="26">
        <f t="shared" si="90"/>
        <v>0</v>
      </c>
      <c r="BJ159" s="26">
        <f t="shared" si="91"/>
        <v>0</v>
      </c>
      <c r="BK159" s="26" t="s">
        <v>573</v>
      </c>
      <c r="BL159" s="40" t="s">
        <v>275</v>
      </c>
    </row>
    <row r="160" spans="1:64" x14ac:dyDescent="0.25">
      <c r="A160" s="4" t="s">
        <v>122</v>
      </c>
      <c r="B160" s="14" t="s">
        <v>278</v>
      </c>
      <c r="C160" s="135" t="s">
        <v>453</v>
      </c>
      <c r="D160" s="136"/>
      <c r="E160" s="136"/>
      <c r="F160" s="136"/>
      <c r="G160" s="14" t="s">
        <v>500</v>
      </c>
      <c r="H160" s="26">
        <v>1</v>
      </c>
      <c r="I160" s="26">
        <v>0</v>
      </c>
      <c r="J160" s="26">
        <f t="shared" si="69"/>
        <v>0</v>
      </c>
      <c r="K160" s="26">
        <f t="shared" si="70"/>
        <v>0</v>
      </c>
      <c r="L160" s="26">
        <f t="shared" si="71"/>
        <v>0</v>
      </c>
      <c r="M160" s="26">
        <v>2.0000000000000001E-4</v>
      </c>
      <c r="N160" s="49">
        <f>H160*160</f>
        <v>160</v>
      </c>
      <c r="O160" s="6"/>
      <c r="Z160" s="40">
        <f t="shared" si="72"/>
        <v>0</v>
      </c>
      <c r="AB160" s="40">
        <f t="shared" si="73"/>
        <v>0</v>
      </c>
      <c r="AC160" s="40">
        <f t="shared" si="74"/>
        <v>0</v>
      </c>
      <c r="AD160" s="40">
        <f t="shared" si="75"/>
        <v>0</v>
      </c>
      <c r="AE160" s="40">
        <f t="shared" si="76"/>
        <v>0</v>
      </c>
      <c r="AF160" s="40">
        <f t="shared" si="77"/>
        <v>0</v>
      </c>
      <c r="AG160" s="40">
        <f t="shared" si="78"/>
        <v>0</v>
      </c>
      <c r="AH160" s="40">
        <f t="shared" si="79"/>
        <v>0</v>
      </c>
      <c r="AI160" s="37"/>
      <c r="AJ160" s="26">
        <f t="shared" si="80"/>
        <v>0</v>
      </c>
      <c r="AK160" s="26">
        <f t="shared" si="81"/>
        <v>0</v>
      </c>
      <c r="AL160" s="26">
        <f t="shared" si="82"/>
        <v>0</v>
      </c>
      <c r="AN160" s="40">
        <v>21</v>
      </c>
      <c r="AO160" s="40">
        <f>I160*0.93033318909563</f>
        <v>0</v>
      </c>
      <c r="AP160" s="40">
        <f>I160*(1-0.93033318909563)</f>
        <v>0</v>
      </c>
      <c r="AQ160" s="41" t="s">
        <v>8</v>
      </c>
      <c r="AV160" s="40">
        <f t="shared" si="83"/>
        <v>0</v>
      </c>
      <c r="AW160" s="40">
        <f t="shared" si="84"/>
        <v>0</v>
      </c>
      <c r="AX160" s="40">
        <f t="shared" si="85"/>
        <v>0</v>
      </c>
      <c r="AY160" s="43" t="s">
        <v>554</v>
      </c>
      <c r="AZ160" s="43" t="s">
        <v>567</v>
      </c>
      <c r="BA160" s="37" t="s">
        <v>568</v>
      </c>
      <c r="BC160" s="40">
        <f t="shared" si="86"/>
        <v>0</v>
      </c>
      <c r="BD160" s="40">
        <f t="shared" si="87"/>
        <v>0</v>
      </c>
      <c r="BE160" s="40">
        <v>0</v>
      </c>
      <c r="BF160" s="40">
        <f t="shared" si="88"/>
        <v>160</v>
      </c>
      <c r="BH160" s="26">
        <f t="shared" si="89"/>
        <v>0</v>
      </c>
      <c r="BI160" s="26">
        <f t="shared" si="90"/>
        <v>0</v>
      </c>
      <c r="BJ160" s="26">
        <f t="shared" si="91"/>
        <v>0</v>
      </c>
      <c r="BK160" s="26" t="s">
        <v>573</v>
      </c>
      <c r="BL160" s="40" t="s">
        <v>275</v>
      </c>
    </row>
    <row r="161" spans="1:64" x14ac:dyDescent="0.25">
      <c r="A161" s="4" t="s">
        <v>123</v>
      </c>
      <c r="B161" s="14" t="s">
        <v>279</v>
      </c>
      <c r="C161" s="135" t="s">
        <v>454</v>
      </c>
      <c r="D161" s="136"/>
      <c r="E161" s="136"/>
      <c r="F161" s="136"/>
      <c r="G161" s="14" t="s">
        <v>500</v>
      </c>
      <c r="H161" s="26">
        <v>1</v>
      </c>
      <c r="I161" s="26">
        <v>0</v>
      </c>
      <c r="J161" s="26">
        <f t="shared" si="69"/>
        <v>0</v>
      </c>
      <c r="K161" s="26">
        <f t="shared" si="70"/>
        <v>0</v>
      </c>
      <c r="L161" s="26">
        <f t="shared" si="71"/>
        <v>0</v>
      </c>
      <c r="M161" s="26">
        <v>1.8000000000000001E-4</v>
      </c>
      <c r="N161" s="49">
        <f>H161*161</f>
        <v>161</v>
      </c>
      <c r="O161" s="6"/>
      <c r="Z161" s="40">
        <f t="shared" si="72"/>
        <v>0</v>
      </c>
      <c r="AB161" s="40">
        <f t="shared" si="73"/>
        <v>0</v>
      </c>
      <c r="AC161" s="40">
        <f t="shared" si="74"/>
        <v>0</v>
      </c>
      <c r="AD161" s="40">
        <f t="shared" si="75"/>
        <v>0</v>
      </c>
      <c r="AE161" s="40">
        <f t="shared" si="76"/>
        <v>0</v>
      </c>
      <c r="AF161" s="40">
        <f t="shared" si="77"/>
        <v>0</v>
      </c>
      <c r="AG161" s="40">
        <f t="shared" si="78"/>
        <v>0</v>
      </c>
      <c r="AH161" s="40">
        <f t="shared" si="79"/>
        <v>0</v>
      </c>
      <c r="AI161" s="37"/>
      <c r="AJ161" s="26">
        <f t="shared" si="80"/>
        <v>0</v>
      </c>
      <c r="AK161" s="26">
        <f t="shared" si="81"/>
        <v>0</v>
      </c>
      <c r="AL161" s="26">
        <f t="shared" si="82"/>
        <v>0</v>
      </c>
      <c r="AN161" s="40">
        <v>21</v>
      </c>
      <c r="AO161" s="40">
        <f>I161*0.303669064748201</f>
        <v>0</v>
      </c>
      <c r="AP161" s="40">
        <f>I161*(1-0.303669064748201)</f>
        <v>0</v>
      </c>
      <c r="AQ161" s="41" t="s">
        <v>8</v>
      </c>
      <c r="AV161" s="40">
        <f t="shared" si="83"/>
        <v>0</v>
      </c>
      <c r="AW161" s="40">
        <f t="shared" si="84"/>
        <v>0</v>
      </c>
      <c r="AX161" s="40">
        <f t="shared" si="85"/>
        <v>0</v>
      </c>
      <c r="AY161" s="43" t="s">
        <v>554</v>
      </c>
      <c r="AZ161" s="43" t="s">
        <v>567</v>
      </c>
      <c r="BA161" s="37" t="s">
        <v>568</v>
      </c>
      <c r="BC161" s="40">
        <f t="shared" si="86"/>
        <v>0</v>
      </c>
      <c r="BD161" s="40">
        <f t="shared" si="87"/>
        <v>0</v>
      </c>
      <c r="BE161" s="40">
        <v>0</v>
      </c>
      <c r="BF161" s="40">
        <f t="shared" si="88"/>
        <v>161</v>
      </c>
      <c r="BH161" s="26">
        <f t="shared" si="89"/>
        <v>0</v>
      </c>
      <c r="BI161" s="26">
        <f t="shared" si="90"/>
        <v>0</v>
      </c>
      <c r="BJ161" s="26">
        <f t="shared" si="91"/>
        <v>0</v>
      </c>
      <c r="BK161" s="26" t="s">
        <v>573</v>
      </c>
      <c r="BL161" s="40" t="s">
        <v>275</v>
      </c>
    </row>
    <row r="162" spans="1:64" x14ac:dyDescent="0.25">
      <c r="A162" s="4" t="s">
        <v>124</v>
      </c>
      <c r="B162" s="14" t="s">
        <v>280</v>
      </c>
      <c r="C162" s="135" t="s">
        <v>455</v>
      </c>
      <c r="D162" s="136"/>
      <c r="E162" s="136"/>
      <c r="F162" s="136"/>
      <c r="G162" s="14" t="s">
        <v>500</v>
      </c>
      <c r="H162" s="26">
        <v>5</v>
      </c>
      <c r="I162" s="26">
        <v>0</v>
      </c>
      <c r="J162" s="26">
        <f t="shared" si="69"/>
        <v>0</v>
      </c>
      <c r="K162" s="26">
        <f t="shared" si="70"/>
        <v>0</v>
      </c>
      <c r="L162" s="26">
        <f t="shared" si="71"/>
        <v>0</v>
      </c>
      <c r="M162" s="26">
        <v>0</v>
      </c>
      <c r="N162" s="49">
        <f>H162*162</f>
        <v>810</v>
      </c>
      <c r="O162" s="6"/>
      <c r="Z162" s="40">
        <f t="shared" si="72"/>
        <v>0</v>
      </c>
      <c r="AB162" s="40">
        <f t="shared" si="73"/>
        <v>0</v>
      </c>
      <c r="AC162" s="40">
        <f t="shared" si="74"/>
        <v>0</v>
      </c>
      <c r="AD162" s="40">
        <f t="shared" si="75"/>
        <v>0</v>
      </c>
      <c r="AE162" s="40">
        <f t="shared" si="76"/>
        <v>0</v>
      </c>
      <c r="AF162" s="40">
        <f t="shared" si="77"/>
        <v>0</v>
      </c>
      <c r="AG162" s="40">
        <f t="shared" si="78"/>
        <v>0</v>
      </c>
      <c r="AH162" s="40">
        <f t="shared" si="79"/>
        <v>0</v>
      </c>
      <c r="AI162" s="37"/>
      <c r="AJ162" s="26">
        <f t="shared" si="80"/>
        <v>0</v>
      </c>
      <c r="AK162" s="26">
        <f t="shared" si="81"/>
        <v>0</v>
      </c>
      <c r="AL162" s="26">
        <f t="shared" si="82"/>
        <v>0</v>
      </c>
      <c r="AN162" s="40">
        <v>21</v>
      </c>
      <c r="AO162" s="40">
        <f>I162*0.737524124620899</f>
        <v>0</v>
      </c>
      <c r="AP162" s="40">
        <f>I162*(1-0.737524124620899)</f>
        <v>0</v>
      </c>
      <c r="AQ162" s="41" t="s">
        <v>8</v>
      </c>
      <c r="AV162" s="40">
        <f t="shared" si="83"/>
        <v>0</v>
      </c>
      <c r="AW162" s="40">
        <f t="shared" si="84"/>
        <v>0</v>
      </c>
      <c r="AX162" s="40">
        <f t="shared" si="85"/>
        <v>0</v>
      </c>
      <c r="AY162" s="43" t="s">
        <v>554</v>
      </c>
      <c r="AZ162" s="43" t="s">
        <v>567</v>
      </c>
      <c r="BA162" s="37" t="s">
        <v>568</v>
      </c>
      <c r="BC162" s="40">
        <f t="shared" si="86"/>
        <v>0</v>
      </c>
      <c r="BD162" s="40">
        <f t="shared" si="87"/>
        <v>0</v>
      </c>
      <c r="BE162" s="40">
        <v>0</v>
      </c>
      <c r="BF162" s="40">
        <f t="shared" si="88"/>
        <v>810</v>
      </c>
      <c r="BH162" s="26">
        <f t="shared" si="89"/>
        <v>0</v>
      </c>
      <c r="BI162" s="26">
        <f t="shared" si="90"/>
        <v>0</v>
      </c>
      <c r="BJ162" s="26">
        <f t="shared" si="91"/>
        <v>0</v>
      </c>
      <c r="BK162" s="26" t="s">
        <v>573</v>
      </c>
      <c r="BL162" s="40" t="s">
        <v>275</v>
      </c>
    </row>
    <row r="163" spans="1:64" x14ac:dyDescent="0.25">
      <c r="A163" s="4" t="s">
        <v>125</v>
      </c>
      <c r="B163" s="14" t="s">
        <v>277</v>
      </c>
      <c r="C163" s="135" t="s">
        <v>456</v>
      </c>
      <c r="D163" s="136"/>
      <c r="E163" s="136"/>
      <c r="F163" s="136"/>
      <c r="G163" s="14" t="s">
        <v>500</v>
      </c>
      <c r="H163" s="26">
        <v>5</v>
      </c>
      <c r="I163" s="26">
        <v>0</v>
      </c>
      <c r="J163" s="26">
        <f t="shared" si="69"/>
        <v>0</v>
      </c>
      <c r="K163" s="26">
        <f t="shared" si="70"/>
        <v>0</v>
      </c>
      <c r="L163" s="26">
        <f t="shared" si="71"/>
        <v>0</v>
      </c>
      <c r="M163" s="26">
        <v>0</v>
      </c>
      <c r="N163" s="49">
        <f>H163*163</f>
        <v>815</v>
      </c>
      <c r="O163" s="6"/>
      <c r="Z163" s="40">
        <f t="shared" si="72"/>
        <v>0</v>
      </c>
      <c r="AB163" s="40">
        <f t="shared" si="73"/>
        <v>0</v>
      </c>
      <c r="AC163" s="40">
        <f t="shared" si="74"/>
        <v>0</v>
      </c>
      <c r="AD163" s="40">
        <f t="shared" si="75"/>
        <v>0</v>
      </c>
      <c r="AE163" s="40">
        <f t="shared" si="76"/>
        <v>0</v>
      </c>
      <c r="AF163" s="40">
        <f t="shared" si="77"/>
        <v>0</v>
      </c>
      <c r="AG163" s="40">
        <f t="shared" si="78"/>
        <v>0</v>
      </c>
      <c r="AH163" s="40">
        <f t="shared" si="79"/>
        <v>0</v>
      </c>
      <c r="AI163" s="37"/>
      <c r="AJ163" s="26">
        <f t="shared" si="80"/>
        <v>0</v>
      </c>
      <c r="AK163" s="26">
        <f t="shared" si="81"/>
        <v>0</v>
      </c>
      <c r="AL163" s="26">
        <f t="shared" si="82"/>
        <v>0</v>
      </c>
      <c r="AN163" s="40">
        <v>21</v>
      </c>
      <c r="AO163" s="40">
        <f>I163*0.317013032758013</f>
        <v>0</v>
      </c>
      <c r="AP163" s="40">
        <f>I163*(1-0.317013032758013)</f>
        <v>0</v>
      </c>
      <c r="AQ163" s="41" t="s">
        <v>8</v>
      </c>
      <c r="AV163" s="40">
        <f t="shared" si="83"/>
        <v>0</v>
      </c>
      <c r="AW163" s="40">
        <f t="shared" si="84"/>
        <v>0</v>
      </c>
      <c r="AX163" s="40">
        <f t="shared" si="85"/>
        <v>0</v>
      </c>
      <c r="AY163" s="43" t="s">
        <v>554</v>
      </c>
      <c r="AZ163" s="43" t="s">
        <v>567</v>
      </c>
      <c r="BA163" s="37" t="s">
        <v>568</v>
      </c>
      <c r="BC163" s="40">
        <f t="shared" si="86"/>
        <v>0</v>
      </c>
      <c r="BD163" s="40">
        <f t="shared" si="87"/>
        <v>0</v>
      </c>
      <c r="BE163" s="40">
        <v>0</v>
      </c>
      <c r="BF163" s="40">
        <f t="shared" si="88"/>
        <v>815</v>
      </c>
      <c r="BH163" s="26">
        <f t="shared" si="89"/>
        <v>0</v>
      </c>
      <c r="BI163" s="26">
        <f t="shared" si="90"/>
        <v>0</v>
      </c>
      <c r="BJ163" s="26">
        <f t="shared" si="91"/>
        <v>0</v>
      </c>
      <c r="BK163" s="26" t="s">
        <v>573</v>
      </c>
      <c r="BL163" s="40" t="s">
        <v>275</v>
      </c>
    </row>
    <row r="164" spans="1:64" x14ac:dyDescent="0.25">
      <c r="A164" s="4" t="s">
        <v>126</v>
      </c>
      <c r="B164" s="14" t="s">
        <v>281</v>
      </c>
      <c r="C164" s="135" t="s">
        <v>457</v>
      </c>
      <c r="D164" s="136"/>
      <c r="E164" s="136"/>
      <c r="F164" s="136"/>
      <c r="G164" s="14" t="s">
        <v>502</v>
      </c>
      <c r="H164" s="26">
        <v>6</v>
      </c>
      <c r="I164" s="26">
        <v>0</v>
      </c>
      <c r="J164" s="26">
        <f t="shared" si="69"/>
        <v>0</v>
      </c>
      <c r="K164" s="26">
        <f t="shared" si="70"/>
        <v>0</v>
      </c>
      <c r="L164" s="26">
        <f t="shared" si="71"/>
        <v>0</v>
      </c>
      <c r="M164" s="26">
        <v>2.3E-3</v>
      </c>
      <c r="N164" s="49">
        <f>H164*164</f>
        <v>984</v>
      </c>
      <c r="O164" s="6"/>
      <c r="Z164" s="40">
        <f t="shared" si="72"/>
        <v>0</v>
      </c>
      <c r="AB164" s="40">
        <f t="shared" si="73"/>
        <v>0</v>
      </c>
      <c r="AC164" s="40">
        <f t="shared" si="74"/>
        <v>0</v>
      </c>
      <c r="AD164" s="40">
        <f t="shared" si="75"/>
        <v>0</v>
      </c>
      <c r="AE164" s="40">
        <f t="shared" si="76"/>
        <v>0</v>
      </c>
      <c r="AF164" s="40">
        <f t="shared" si="77"/>
        <v>0</v>
      </c>
      <c r="AG164" s="40">
        <f t="shared" si="78"/>
        <v>0</v>
      </c>
      <c r="AH164" s="40">
        <f t="shared" si="79"/>
        <v>0</v>
      </c>
      <c r="AI164" s="37"/>
      <c r="AJ164" s="26">
        <f t="shared" si="80"/>
        <v>0</v>
      </c>
      <c r="AK164" s="26">
        <f t="shared" si="81"/>
        <v>0</v>
      </c>
      <c r="AL164" s="26">
        <f t="shared" si="82"/>
        <v>0</v>
      </c>
      <c r="AN164" s="40">
        <v>21</v>
      </c>
      <c r="AO164" s="40">
        <f>I164*0.480916030534351</f>
        <v>0</v>
      </c>
      <c r="AP164" s="40">
        <f>I164*(1-0.480916030534351)</f>
        <v>0</v>
      </c>
      <c r="AQ164" s="41" t="s">
        <v>8</v>
      </c>
      <c r="AV164" s="40">
        <f t="shared" si="83"/>
        <v>0</v>
      </c>
      <c r="AW164" s="40">
        <f t="shared" si="84"/>
        <v>0</v>
      </c>
      <c r="AX164" s="40">
        <f t="shared" si="85"/>
        <v>0</v>
      </c>
      <c r="AY164" s="43" t="s">
        <v>554</v>
      </c>
      <c r="AZ164" s="43" t="s">
        <v>567</v>
      </c>
      <c r="BA164" s="37" t="s">
        <v>568</v>
      </c>
      <c r="BC164" s="40">
        <f t="shared" si="86"/>
        <v>0</v>
      </c>
      <c r="BD164" s="40">
        <f t="shared" si="87"/>
        <v>0</v>
      </c>
      <c r="BE164" s="40">
        <v>0</v>
      </c>
      <c r="BF164" s="40">
        <f t="shared" si="88"/>
        <v>984</v>
      </c>
      <c r="BH164" s="26">
        <f t="shared" si="89"/>
        <v>0</v>
      </c>
      <c r="BI164" s="26">
        <f t="shared" si="90"/>
        <v>0</v>
      </c>
      <c r="BJ164" s="26">
        <f t="shared" si="91"/>
        <v>0</v>
      </c>
      <c r="BK164" s="26" t="s">
        <v>573</v>
      </c>
      <c r="BL164" s="40" t="s">
        <v>275</v>
      </c>
    </row>
    <row r="165" spans="1:64" x14ac:dyDescent="0.25">
      <c r="A165" s="4" t="s">
        <v>127</v>
      </c>
      <c r="B165" s="14" t="s">
        <v>282</v>
      </c>
      <c r="C165" s="135" t="s">
        <v>458</v>
      </c>
      <c r="D165" s="136"/>
      <c r="E165" s="136"/>
      <c r="F165" s="136"/>
      <c r="G165" s="14" t="s">
        <v>502</v>
      </c>
      <c r="H165" s="26">
        <v>30</v>
      </c>
      <c r="I165" s="26">
        <v>0</v>
      </c>
      <c r="J165" s="26">
        <f t="shared" si="69"/>
        <v>0</v>
      </c>
      <c r="K165" s="26">
        <f t="shared" si="70"/>
        <v>0</v>
      </c>
      <c r="L165" s="26">
        <f t="shared" si="71"/>
        <v>0</v>
      </c>
      <c r="M165" s="26">
        <v>2E-3</v>
      </c>
      <c r="N165" s="49">
        <f>H165*165</f>
        <v>4950</v>
      </c>
      <c r="O165" s="6"/>
      <c r="Z165" s="40">
        <f t="shared" si="72"/>
        <v>0</v>
      </c>
      <c r="AB165" s="40">
        <f t="shared" si="73"/>
        <v>0</v>
      </c>
      <c r="AC165" s="40">
        <f t="shared" si="74"/>
        <v>0</v>
      </c>
      <c r="AD165" s="40">
        <f t="shared" si="75"/>
        <v>0</v>
      </c>
      <c r="AE165" s="40">
        <f t="shared" si="76"/>
        <v>0</v>
      </c>
      <c r="AF165" s="40">
        <f t="shared" si="77"/>
        <v>0</v>
      </c>
      <c r="AG165" s="40">
        <f t="shared" si="78"/>
        <v>0</v>
      </c>
      <c r="AH165" s="40">
        <f t="shared" si="79"/>
        <v>0</v>
      </c>
      <c r="AI165" s="37"/>
      <c r="AJ165" s="26">
        <f t="shared" si="80"/>
        <v>0</v>
      </c>
      <c r="AK165" s="26">
        <f t="shared" si="81"/>
        <v>0</v>
      </c>
      <c r="AL165" s="26">
        <f t="shared" si="82"/>
        <v>0</v>
      </c>
      <c r="AN165" s="40">
        <v>21</v>
      </c>
      <c r="AO165" s="40">
        <f>I165*0.625</f>
        <v>0</v>
      </c>
      <c r="AP165" s="40">
        <f>I165*(1-0.625)</f>
        <v>0</v>
      </c>
      <c r="AQ165" s="41" t="s">
        <v>8</v>
      </c>
      <c r="AV165" s="40">
        <f t="shared" si="83"/>
        <v>0</v>
      </c>
      <c r="AW165" s="40">
        <f t="shared" si="84"/>
        <v>0</v>
      </c>
      <c r="AX165" s="40">
        <f t="shared" si="85"/>
        <v>0</v>
      </c>
      <c r="AY165" s="43" t="s">
        <v>554</v>
      </c>
      <c r="AZ165" s="43" t="s">
        <v>567</v>
      </c>
      <c r="BA165" s="37" t="s">
        <v>568</v>
      </c>
      <c r="BC165" s="40">
        <f t="shared" si="86"/>
        <v>0</v>
      </c>
      <c r="BD165" s="40">
        <f t="shared" si="87"/>
        <v>0</v>
      </c>
      <c r="BE165" s="40">
        <v>0</v>
      </c>
      <c r="BF165" s="40">
        <f t="shared" si="88"/>
        <v>4950</v>
      </c>
      <c r="BH165" s="26">
        <f t="shared" si="89"/>
        <v>0</v>
      </c>
      <c r="BI165" s="26">
        <f t="shared" si="90"/>
        <v>0</v>
      </c>
      <c r="BJ165" s="26">
        <f t="shared" si="91"/>
        <v>0</v>
      </c>
      <c r="BK165" s="26" t="s">
        <v>573</v>
      </c>
      <c r="BL165" s="40" t="s">
        <v>275</v>
      </c>
    </row>
    <row r="166" spans="1:64" x14ac:dyDescent="0.25">
      <c r="A166" s="4" t="s">
        <v>128</v>
      </c>
      <c r="B166" s="14" t="s">
        <v>283</v>
      </c>
      <c r="C166" s="135" t="s">
        <v>459</v>
      </c>
      <c r="D166" s="136"/>
      <c r="E166" s="136"/>
      <c r="F166" s="136"/>
      <c r="G166" s="14" t="s">
        <v>502</v>
      </c>
      <c r="H166" s="26">
        <v>80</v>
      </c>
      <c r="I166" s="26">
        <v>0</v>
      </c>
      <c r="J166" s="26">
        <f t="shared" si="69"/>
        <v>0</v>
      </c>
      <c r="K166" s="26">
        <f t="shared" si="70"/>
        <v>0</v>
      </c>
      <c r="L166" s="26">
        <f t="shared" si="71"/>
        <v>0</v>
      </c>
      <c r="M166" s="26">
        <v>1E-3</v>
      </c>
      <c r="N166" s="49">
        <f>H166*166</f>
        <v>13280</v>
      </c>
      <c r="O166" s="6"/>
      <c r="Z166" s="40">
        <f t="shared" si="72"/>
        <v>0</v>
      </c>
      <c r="AB166" s="40">
        <f t="shared" si="73"/>
        <v>0</v>
      </c>
      <c r="AC166" s="40">
        <f t="shared" si="74"/>
        <v>0</v>
      </c>
      <c r="AD166" s="40">
        <f t="shared" si="75"/>
        <v>0</v>
      </c>
      <c r="AE166" s="40">
        <f t="shared" si="76"/>
        <v>0</v>
      </c>
      <c r="AF166" s="40">
        <f t="shared" si="77"/>
        <v>0</v>
      </c>
      <c r="AG166" s="40">
        <f t="shared" si="78"/>
        <v>0</v>
      </c>
      <c r="AH166" s="40">
        <f t="shared" si="79"/>
        <v>0</v>
      </c>
      <c r="AI166" s="37"/>
      <c r="AJ166" s="26">
        <f t="shared" si="80"/>
        <v>0</v>
      </c>
      <c r="AK166" s="26">
        <f t="shared" si="81"/>
        <v>0</v>
      </c>
      <c r="AL166" s="26">
        <f t="shared" si="82"/>
        <v>0</v>
      </c>
      <c r="AN166" s="40">
        <v>21</v>
      </c>
      <c r="AO166" s="40">
        <f>I166*0.583286595625351</f>
        <v>0</v>
      </c>
      <c r="AP166" s="40">
        <f>I166*(1-0.583286595625351)</f>
        <v>0</v>
      </c>
      <c r="AQ166" s="41" t="s">
        <v>8</v>
      </c>
      <c r="AV166" s="40">
        <f t="shared" si="83"/>
        <v>0</v>
      </c>
      <c r="AW166" s="40">
        <f t="shared" si="84"/>
        <v>0</v>
      </c>
      <c r="AX166" s="40">
        <f t="shared" si="85"/>
        <v>0</v>
      </c>
      <c r="AY166" s="43" t="s">
        <v>554</v>
      </c>
      <c r="AZ166" s="43" t="s">
        <v>567</v>
      </c>
      <c r="BA166" s="37" t="s">
        <v>568</v>
      </c>
      <c r="BC166" s="40">
        <f t="shared" si="86"/>
        <v>0</v>
      </c>
      <c r="BD166" s="40">
        <f t="shared" si="87"/>
        <v>0</v>
      </c>
      <c r="BE166" s="40">
        <v>0</v>
      </c>
      <c r="BF166" s="40">
        <f t="shared" si="88"/>
        <v>13280</v>
      </c>
      <c r="BH166" s="26">
        <f t="shared" si="89"/>
        <v>0</v>
      </c>
      <c r="BI166" s="26">
        <f t="shared" si="90"/>
        <v>0</v>
      </c>
      <c r="BJ166" s="26">
        <f t="shared" si="91"/>
        <v>0</v>
      </c>
      <c r="BK166" s="26" t="s">
        <v>573</v>
      </c>
      <c r="BL166" s="40" t="s">
        <v>275</v>
      </c>
    </row>
    <row r="167" spans="1:64" x14ac:dyDescent="0.25">
      <c r="A167" s="4" t="s">
        <v>129</v>
      </c>
      <c r="B167" s="14" t="s">
        <v>284</v>
      </c>
      <c r="C167" s="135" t="s">
        <v>460</v>
      </c>
      <c r="D167" s="136"/>
      <c r="E167" s="136"/>
      <c r="F167" s="136"/>
      <c r="G167" s="14" t="s">
        <v>500</v>
      </c>
      <c r="H167" s="26">
        <v>1</v>
      </c>
      <c r="I167" s="26">
        <v>0</v>
      </c>
      <c r="J167" s="26">
        <f t="shared" si="69"/>
        <v>0</v>
      </c>
      <c r="K167" s="26">
        <f t="shared" si="70"/>
        <v>0</v>
      </c>
      <c r="L167" s="26">
        <f t="shared" si="71"/>
        <v>0</v>
      </c>
      <c r="M167" s="26">
        <v>1E-3</v>
      </c>
      <c r="N167" s="49">
        <f>H167*167</f>
        <v>167</v>
      </c>
      <c r="O167" s="6"/>
      <c r="Z167" s="40">
        <f t="shared" si="72"/>
        <v>0</v>
      </c>
      <c r="AB167" s="40">
        <f t="shared" si="73"/>
        <v>0</v>
      </c>
      <c r="AC167" s="40">
        <f t="shared" si="74"/>
        <v>0</v>
      </c>
      <c r="AD167" s="40">
        <f t="shared" si="75"/>
        <v>0</v>
      </c>
      <c r="AE167" s="40">
        <f t="shared" si="76"/>
        <v>0</v>
      </c>
      <c r="AF167" s="40">
        <f t="shared" si="77"/>
        <v>0</v>
      </c>
      <c r="AG167" s="40">
        <f t="shared" si="78"/>
        <v>0</v>
      </c>
      <c r="AH167" s="40">
        <f t="shared" si="79"/>
        <v>0</v>
      </c>
      <c r="AI167" s="37"/>
      <c r="AJ167" s="26">
        <f t="shared" si="80"/>
        <v>0</v>
      </c>
      <c r="AK167" s="26">
        <f t="shared" si="81"/>
        <v>0</v>
      </c>
      <c r="AL167" s="26">
        <f t="shared" si="82"/>
        <v>0</v>
      </c>
      <c r="AN167" s="40">
        <v>21</v>
      </c>
      <c r="AO167" s="40">
        <f>I167*0.919003115264797</f>
        <v>0</v>
      </c>
      <c r="AP167" s="40">
        <f>I167*(1-0.919003115264797)</f>
        <v>0</v>
      </c>
      <c r="AQ167" s="41" t="s">
        <v>8</v>
      </c>
      <c r="AV167" s="40">
        <f t="shared" si="83"/>
        <v>0</v>
      </c>
      <c r="AW167" s="40">
        <f t="shared" si="84"/>
        <v>0</v>
      </c>
      <c r="AX167" s="40">
        <f t="shared" si="85"/>
        <v>0</v>
      </c>
      <c r="AY167" s="43" t="s">
        <v>554</v>
      </c>
      <c r="AZ167" s="43" t="s">
        <v>567</v>
      </c>
      <c r="BA167" s="37" t="s">
        <v>568</v>
      </c>
      <c r="BC167" s="40">
        <f t="shared" si="86"/>
        <v>0</v>
      </c>
      <c r="BD167" s="40">
        <f t="shared" si="87"/>
        <v>0</v>
      </c>
      <c r="BE167" s="40">
        <v>0</v>
      </c>
      <c r="BF167" s="40">
        <f t="shared" si="88"/>
        <v>167</v>
      </c>
      <c r="BH167" s="26">
        <f t="shared" si="89"/>
        <v>0</v>
      </c>
      <c r="BI167" s="26">
        <f t="shared" si="90"/>
        <v>0</v>
      </c>
      <c r="BJ167" s="26">
        <f t="shared" si="91"/>
        <v>0</v>
      </c>
      <c r="BK167" s="26" t="s">
        <v>573</v>
      </c>
      <c r="BL167" s="40" t="s">
        <v>275</v>
      </c>
    </row>
    <row r="168" spans="1:64" x14ac:dyDescent="0.25">
      <c r="A168" s="4" t="s">
        <v>130</v>
      </c>
      <c r="B168" s="14" t="s">
        <v>285</v>
      </c>
      <c r="C168" s="135" t="s">
        <v>461</v>
      </c>
      <c r="D168" s="136"/>
      <c r="E168" s="136"/>
      <c r="F168" s="136"/>
      <c r="G168" s="14" t="s">
        <v>500</v>
      </c>
      <c r="H168" s="26">
        <v>1</v>
      </c>
      <c r="I168" s="26">
        <v>0</v>
      </c>
      <c r="J168" s="26">
        <f t="shared" si="69"/>
        <v>0</v>
      </c>
      <c r="K168" s="26">
        <f t="shared" si="70"/>
        <v>0</v>
      </c>
      <c r="L168" s="26">
        <f t="shared" si="71"/>
        <v>0</v>
      </c>
      <c r="M168" s="26">
        <v>1E-3</v>
      </c>
      <c r="N168" s="49">
        <f>H168*168</f>
        <v>168</v>
      </c>
      <c r="O168" s="6"/>
      <c r="Z168" s="40">
        <f t="shared" si="72"/>
        <v>0</v>
      </c>
      <c r="AB168" s="40">
        <f t="shared" si="73"/>
        <v>0</v>
      </c>
      <c r="AC168" s="40">
        <f t="shared" si="74"/>
        <v>0</v>
      </c>
      <c r="AD168" s="40">
        <f t="shared" si="75"/>
        <v>0</v>
      </c>
      <c r="AE168" s="40">
        <f t="shared" si="76"/>
        <v>0</v>
      </c>
      <c r="AF168" s="40">
        <f t="shared" si="77"/>
        <v>0</v>
      </c>
      <c r="AG168" s="40">
        <f t="shared" si="78"/>
        <v>0</v>
      </c>
      <c r="AH168" s="40">
        <f t="shared" si="79"/>
        <v>0</v>
      </c>
      <c r="AI168" s="37"/>
      <c r="AJ168" s="26">
        <f t="shared" si="80"/>
        <v>0</v>
      </c>
      <c r="AK168" s="26">
        <f t="shared" si="81"/>
        <v>0</v>
      </c>
      <c r="AL168" s="26">
        <f t="shared" si="82"/>
        <v>0</v>
      </c>
      <c r="AN168" s="40">
        <v>21</v>
      </c>
      <c r="AO168" s="40">
        <f>I168*0.841346153846154</f>
        <v>0</v>
      </c>
      <c r="AP168" s="40">
        <f>I168*(1-0.841346153846154)</f>
        <v>0</v>
      </c>
      <c r="AQ168" s="41" t="s">
        <v>8</v>
      </c>
      <c r="AV168" s="40">
        <f t="shared" si="83"/>
        <v>0</v>
      </c>
      <c r="AW168" s="40">
        <f t="shared" si="84"/>
        <v>0</v>
      </c>
      <c r="AX168" s="40">
        <f t="shared" si="85"/>
        <v>0</v>
      </c>
      <c r="AY168" s="43" t="s">
        <v>554</v>
      </c>
      <c r="AZ168" s="43" t="s">
        <v>567</v>
      </c>
      <c r="BA168" s="37" t="s">
        <v>568</v>
      </c>
      <c r="BC168" s="40">
        <f t="shared" si="86"/>
        <v>0</v>
      </c>
      <c r="BD168" s="40">
        <f t="shared" si="87"/>
        <v>0</v>
      </c>
      <c r="BE168" s="40">
        <v>0</v>
      </c>
      <c r="BF168" s="40">
        <f t="shared" si="88"/>
        <v>168</v>
      </c>
      <c r="BH168" s="26">
        <f t="shared" si="89"/>
        <v>0</v>
      </c>
      <c r="BI168" s="26">
        <f t="shared" si="90"/>
        <v>0</v>
      </c>
      <c r="BJ168" s="26">
        <f t="shared" si="91"/>
        <v>0</v>
      </c>
      <c r="BK168" s="26" t="s">
        <v>573</v>
      </c>
      <c r="BL168" s="40" t="s">
        <v>275</v>
      </c>
    </row>
    <row r="169" spans="1:64" x14ac:dyDescent="0.25">
      <c r="A169" s="4" t="s">
        <v>131</v>
      </c>
      <c r="B169" s="14" t="s">
        <v>286</v>
      </c>
      <c r="C169" s="135" t="s">
        <v>462</v>
      </c>
      <c r="D169" s="136"/>
      <c r="E169" s="136"/>
      <c r="F169" s="136"/>
      <c r="G169" s="14" t="s">
        <v>500</v>
      </c>
      <c r="H169" s="26">
        <v>1</v>
      </c>
      <c r="I169" s="26">
        <v>0</v>
      </c>
      <c r="J169" s="26">
        <f t="shared" si="69"/>
        <v>0</v>
      </c>
      <c r="K169" s="26">
        <f t="shared" si="70"/>
        <v>0</v>
      </c>
      <c r="L169" s="26">
        <f t="shared" si="71"/>
        <v>0</v>
      </c>
      <c r="M169" s="26">
        <v>0</v>
      </c>
      <c r="N169" s="49">
        <f>H169*169</f>
        <v>169</v>
      </c>
      <c r="O169" s="6"/>
      <c r="Z169" s="40">
        <f t="shared" si="72"/>
        <v>0</v>
      </c>
      <c r="AB169" s="40">
        <f t="shared" si="73"/>
        <v>0</v>
      </c>
      <c r="AC169" s="40">
        <f t="shared" si="74"/>
        <v>0</v>
      </c>
      <c r="AD169" s="40">
        <f t="shared" si="75"/>
        <v>0</v>
      </c>
      <c r="AE169" s="40">
        <f t="shared" si="76"/>
        <v>0</v>
      </c>
      <c r="AF169" s="40">
        <f t="shared" si="77"/>
        <v>0</v>
      </c>
      <c r="AG169" s="40">
        <f t="shared" si="78"/>
        <v>0</v>
      </c>
      <c r="AH169" s="40">
        <f t="shared" si="79"/>
        <v>0</v>
      </c>
      <c r="AI169" s="37"/>
      <c r="AJ169" s="26">
        <f t="shared" si="80"/>
        <v>0</v>
      </c>
      <c r="AK169" s="26">
        <f t="shared" si="81"/>
        <v>0</v>
      </c>
      <c r="AL169" s="26">
        <f t="shared" si="82"/>
        <v>0</v>
      </c>
      <c r="AN169" s="40">
        <v>21</v>
      </c>
      <c r="AO169" s="40">
        <f>I169*0.243718592964824</f>
        <v>0</v>
      </c>
      <c r="AP169" s="40">
        <f>I169*(1-0.243718592964824)</f>
        <v>0</v>
      </c>
      <c r="AQ169" s="41" t="s">
        <v>8</v>
      </c>
      <c r="AV169" s="40">
        <f t="shared" si="83"/>
        <v>0</v>
      </c>
      <c r="AW169" s="40">
        <f t="shared" si="84"/>
        <v>0</v>
      </c>
      <c r="AX169" s="40">
        <f t="shared" si="85"/>
        <v>0</v>
      </c>
      <c r="AY169" s="43" t="s">
        <v>554</v>
      </c>
      <c r="AZ169" s="43" t="s">
        <v>567</v>
      </c>
      <c r="BA169" s="37" t="s">
        <v>568</v>
      </c>
      <c r="BC169" s="40">
        <f t="shared" si="86"/>
        <v>0</v>
      </c>
      <c r="BD169" s="40">
        <f t="shared" si="87"/>
        <v>0</v>
      </c>
      <c r="BE169" s="40">
        <v>0</v>
      </c>
      <c r="BF169" s="40">
        <f t="shared" si="88"/>
        <v>169</v>
      </c>
      <c r="BH169" s="26">
        <f t="shared" si="89"/>
        <v>0</v>
      </c>
      <c r="BI169" s="26">
        <f t="shared" si="90"/>
        <v>0</v>
      </c>
      <c r="BJ169" s="26">
        <f t="shared" si="91"/>
        <v>0</v>
      </c>
      <c r="BK169" s="26" t="s">
        <v>573</v>
      </c>
      <c r="BL169" s="40" t="s">
        <v>275</v>
      </c>
    </row>
    <row r="170" spans="1:64" x14ac:dyDescent="0.25">
      <c r="A170" s="4" t="s">
        <v>132</v>
      </c>
      <c r="B170" s="14" t="s">
        <v>287</v>
      </c>
      <c r="C170" s="135" t="s">
        <v>463</v>
      </c>
      <c r="D170" s="136"/>
      <c r="E170" s="136"/>
      <c r="F170" s="136"/>
      <c r="G170" s="14" t="s">
        <v>502</v>
      </c>
      <c r="H170" s="26">
        <v>30</v>
      </c>
      <c r="I170" s="26">
        <v>0</v>
      </c>
      <c r="J170" s="26">
        <f t="shared" si="69"/>
        <v>0</v>
      </c>
      <c r="K170" s="26">
        <f t="shared" si="70"/>
        <v>0</v>
      </c>
      <c r="L170" s="26">
        <f t="shared" si="71"/>
        <v>0</v>
      </c>
      <c r="M170" s="26">
        <v>6.0000000000000002E-5</v>
      </c>
      <c r="N170" s="49">
        <f>H170*170</f>
        <v>5100</v>
      </c>
      <c r="O170" s="6"/>
      <c r="Z170" s="40">
        <f t="shared" si="72"/>
        <v>0</v>
      </c>
      <c r="AB170" s="40">
        <f t="shared" si="73"/>
        <v>0</v>
      </c>
      <c r="AC170" s="40">
        <f t="shared" si="74"/>
        <v>0</v>
      </c>
      <c r="AD170" s="40">
        <f t="shared" si="75"/>
        <v>0</v>
      </c>
      <c r="AE170" s="40">
        <f t="shared" si="76"/>
        <v>0</v>
      </c>
      <c r="AF170" s="40">
        <f t="shared" si="77"/>
        <v>0</v>
      </c>
      <c r="AG170" s="40">
        <f t="shared" si="78"/>
        <v>0</v>
      </c>
      <c r="AH170" s="40">
        <f t="shared" si="79"/>
        <v>0</v>
      </c>
      <c r="AI170" s="37"/>
      <c r="AJ170" s="26">
        <f t="shared" si="80"/>
        <v>0</v>
      </c>
      <c r="AK170" s="26">
        <f t="shared" si="81"/>
        <v>0</v>
      </c>
      <c r="AL170" s="26">
        <f t="shared" si="82"/>
        <v>0</v>
      </c>
      <c r="AN170" s="40">
        <v>21</v>
      </c>
      <c r="AO170" s="40">
        <f>I170*0.266192170818505</f>
        <v>0</v>
      </c>
      <c r="AP170" s="40">
        <f>I170*(1-0.266192170818505)</f>
        <v>0</v>
      </c>
      <c r="AQ170" s="41" t="s">
        <v>8</v>
      </c>
      <c r="AV170" s="40">
        <f t="shared" si="83"/>
        <v>0</v>
      </c>
      <c r="AW170" s="40">
        <f t="shared" si="84"/>
        <v>0</v>
      </c>
      <c r="AX170" s="40">
        <f t="shared" si="85"/>
        <v>0</v>
      </c>
      <c r="AY170" s="43" t="s">
        <v>554</v>
      </c>
      <c r="AZ170" s="43" t="s">
        <v>567</v>
      </c>
      <c r="BA170" s="37" t="s">
        <v>568</v>
      </c>
      <c r="BC170" s="40">
        <f t="shared" si="86"/>
        <v>0</v>
      </c>
      <c r="BD170" s="40">
        <f t="shared" si="87"/>
        <v>0</v>
      </c>
      <c r="BE170" s="40">
        <v>0</v>
      </c>
      <c r="BF170" s="40">
        <f t="shared" si="88"/>
        <v>5100</v>
      </c>
      <c r="BH170" s="26">
        <f t="shared" si="89"/>
        <v>0</v>
      </c>
      <c r="BI170" s="26">
        <f t="shared" si="90"/>
        <v>0</v>
      </c>
      <c r="BJ170" s="26">
        <f t="shared" si="91"/>
        <v>0</v>
      </c>
      <c r="BK170" s="26" t="s">
        <v>573</v>
      </c>
      <c r="BL170" s="40" t="s">
        <v>275</v>
      </c>
    </row>
    <row r="171" spans="1:64" x14ac:dyDescent="0.25">
      <c r="A171" s="4" t="s">
        <v>133</v>
      </c>
      <c r="B171" s="14" t="s">
        <v>288</v>
      </c>
      <c r="C171" s="135" t="s">
        <v>464</v>
      </c>
      <c r="D171" s="136"/>
      <c r="E171" s="136"/>
      <c r="F171" s="136"/>
      <c r="G171" s="14" t="s">
        <v>500</v>
      </c>
      <c r="H171" s="26">
        <v>15</v>
      </c>
      <c r="I171" s="26">
        <v>0</v>
      </c>
      <c r="J171" s="26">
        <f t="shared" si="69"/>
        <v>0</v>
      </c>
      <c r="K171" s="26">
        <f t="shared" si="70"/>
        <v>0</v>
      </c>
      <c r="L171" s="26">
        <f t="shared" si="71"/>
        <v>0</v>
      </c>
      <c r="M171" s="26">
        <v>1.0000000000000001E-5</v>
      </c>
      <c r="N171" s="49">
        <f>H171*171</f>
        <v>2565</v>
      </c>
      <c r="O171" s="6"/>
      <c r="Z171" s="40">
        <f t="shared" si="72"/>
        <v>0</v>
      </c>
      <c r="AB171" s="40">
        <f t="shared" si="73"/>
        <v>0</v>
      </c>
      <c r="AC171" s="40">
        <f t="shared" si="74"/>
        <v>0</v>
      </c>
      <c r="AD171" s="40">
        <f t="shared" si="75"/>
        <v>0</v>
      </c>
      <c r="AE171" s="40">
        <f t="shared" si="76"/>
        <v>0</v>
      </c>
      <c r="AF171" s="40">
        <f t="shared" si="77"/>
        <v>0</v>
      </c>
      <c r="AG171" s="40">
        <f t="shared" si="78"/>
        <v>0</v>
      </c>
      <c r="AH171" s="40">
        <f t="shared" si="79"/>
        <v>0</v>
      </c>
      <c r="AI171" s="37"/>
      <c r="AJ171" s="26">
        <f t="shared" si="80"/>
        <v>0</v>
      </c>
      <c r="AK171" s="26">
        <f t="shared" si="81"/>
        <v>0</v>
      </c>
      <c r="AL171" s="26">
        <f t="shared" si="82"/>
        <v>0</v>
      </c>
      <c r="AN171" s="40">
        <v>21</v>
      </c>
      <c r="AO171" s="40">
        <f>I171*0.351272727272727</f>
        <v>0</v>
      </c>
      <c r="AP171" s="40">
        <f>I171*(1-0.351272727272727)</f>
        <v>0</v>
      </c>
      <c r="AQ171" s="41" t="s">
        <v>8</v>
      </c>
      <c r="AV171" s="40">
        <f t="shared" si="83"/>
        <v>0</v>
      </c>
      <c r="AW171" s="40">
        <f t="shared" si="84"/>
        <v>0</v>
      </c>
      <c r="AX171" s="40">
        <f t="shared" si="85"/>
        <v>0</v>
      </c>
      <c r="AY171" s="43" t="s">
        <v>554</v>
      </c>
      <c r="AZ171" s="43" t="s">
        <v>567</v>
      </c>
      <c r="BA171" s="37" t="s">
        <v>568</v>
      </c>
      <c r="BC171" s="40">
        <f t="shared" si="86"/>
        <v>0</v>
      </c>
      <c r="BD171" s="40">
        <f t="shared" si="87"/>
        <v>0</v>
      </c>
      <c r="BE171" s="40">
        <v>0</v>
      </c>
      <c r="BF171" s="40">
        <f t="shared" si="88"/>
        <v>2565</v>
      </c>
      <c r="BH171" s="26">
        <f t="shared" si="89"/>
        <v>0</v>
      </c>
      <c r="BI171" s="26">
        <f t="shared" si="90"/>
        <v>0</v>
      </c>
      <c r="BJ171" s="26">
        <f t="shared" si="91"/>
        <v>0</v>
      </c>
      <c r="BK171" s="26" t="s">
        <v>573</v>
      </c>
      <c r="BL171" s="40" t="s">
        <v>275</v>
      </c>
    </row>
    <row r="172" spans="1:64" x14ac:dyDescent="0.25">
      <c r="A172" s="5"/>
      <c r="B172" s="15" t="s">
        <v>289</v>
      </c>
      <c r="C172" s="137" t="s">
        <v>465</v>
      </c>
      <c r="D172" s="138"/>
      <c r="E172" s="138"/>
      <c r="F172" s="138"/>
      <c r="G172" s="24" t="s">
        <v>6</v>
      </c>
      <c r="H172" s="24" t="s">
        <v>6</v>
      </c>
      <c r="I172" s="24" t="s">
        <v>6</v>
      </c>
      <c r="J172" s="46">
        <f>SUM(J173:J177)</f>
        <v>0</v>
      </c>
      <c r="K172" s="46">
        <f>SUM(K173:K177)</f>
        <v>0</v>
      </c>
      <c r="L172" s="46">
        <f>SUM(L173:L177)</f>
        <v>0</v>
      </c>
      <c r="M172" s="37"/>
      <c r="N172" s="50">
        <f>SUM(N173:N177)</f>
        <v>2440</v>
      </c>
      <c r="O172" s="6"/>
      <c r="AI172" s="37"/>
      <c r="AS172" s="46">
        <f>SUM(AJ173:AJ177)</f>
        <v>0</v>
      </c>
      <c r="AT172" s="46">
        <f>SUM(AK173:AK177)</f>
        <v>0</v>
      </c>
      <c r="AU172" s="46">
        <f>SUM(AL173:AL177)</f>
        <v>0</v>
      </c>
    </row>
    <row r="173" spans="1:64" x14ac:dyDescent="0.25">
      <c r="A173" s="4" t="s">
        <v>134</v>
      </c>
      <c r="B173" s="14" t="s">
        <v>290</v>
      </c>
      <c r="C173" s="135" t="s">
        <v>466</v>
      </c>
      <c r="D173" s="136"/>
      <c r="E173" s="136"/>
      <c r="F173" s="136"/>
      <c r="G173" s="14" t="s">
        <v>502</v>
      </c>
      <c r="H173" s="26">
        <v>5</v>
      </c>
      <c r="I173" s="26">
        <v>0</v>
      </c>
      <c r="J173" s="26">
        <f>H173*AO173</f>
        <v>0</v>
      </c>
      <c r="K173" s="26">
        <f>H173*AP173</f>
        <v>0</v>
      </c>
      <c r="L173" s="26">
        <f>H173*I173</f>
        <v>0</v>
      </c>
      <c r="M173" s="26">
        <v>1.81E-3</v>
      </c>
      <c r="N173" s="49">
        <f>H173*173</f>
        <v>865</v>
      </c>
      <c r="O173" s="6"/>
      <c r="Z173" s="40">
        <f>IF(AQ173="5",BJ173,0)</f>
        <v>0</v>
      </c>
      <c r="AB173" s="40">
        <f>IF(AQ173="1",BH173,0)</f>
        <v>0</v>
      </c>
      <c r="AC173" s="40">
        <f>IF(AQ173="1",BI173,0)</f>
        <v>0</v>
      </c>
      <c r="AD173" s="40">
        <f>IF(AQ173="7",BH173,0)</f>
        <v>0</v>
      </c>
      <c r="AE173" s="40">
        <f>IF(AQ173="7",BI173,0)</f>
        <v>0</v>
      </c>
      <c r="AF173" s="40">
        <f>IF(AQ173="2",BH173,0)</f>
        <v>0</v>
      </c>
      <c r="AG173" s="40">
        <f>IF(AQ173="2",BI173,0)</f>
        <v>0</v>
      </c>
      <c r="AH173" s="40">
        <f>IF(AQ173="0",BJ173,0)</f>
        <v>0</v>
      </c>
      <c r="AI173" s="37"/>
      <c r="AJ173" s="26">
        <f>IF(AN173=0,L173,0)</f>
        <v>0</v>
      </c>
      <c r="AK173" s="26">
        <f>IF(AN173=15,L173,0)</f>
        <v>0</v>
      </c>
      <c r="AL173" s="26">
        <f>IF(AN173=21,L173,0)</f>
        <v>0</v>
      </c>
      <c r="AN173" s="40">
        <v>21</v>
      </c>
      <c r="AO173" s="40">
        <f>I173*0.66697688847526</f>
        <v>0</v>
      </c>
      <c r="AP173" s="40">
        <f>I173*(1-0.66697688847526)</f>
        <v>0</v>
      </c>
      <c r="AQ173" s="41" t="s">
        <v>8</v>
      </c>
      <c r="AV173" s="40">
        <f>AW173+AX173</f>
        <v>0</v>
      </c>
      <c r="AW173" s="40">
        <f>H173*AO173</f>
        <v>0</v>
      </c>
      <c r="AX173" s="40">
        <f>H173*AP173</f>
        <v>0</v>
      </c>
      <c r="AY173" s="43" t="s">
        <v>555</v>
      </c>
      <c r="AZ173" s="43" t="s">
        <v>567</v>
      </c>
      <c r="BA173" s="37" t="s">
        <v>568</v>
      </c>
      <c r="BC173" s="40">
        <f>AW173+AX173</f>
        <v>0</v>
      </c>
      <c r="BD173" s="40">
        <f>I173/(100-BE173)*100</f>
        <v>0</v>
      </c>
      <c r="BE173" s="40">
        <v>0</v>
      </c>
      <c r="BF173" s="40">
        <f>N173</f>
        <v>865</v>
      </c>
      <c r="BH173" s="26">
        <f>H173*AO173</f>
        <v>0</v>
      </c>
      <c r="BI173" s="26">
        <f>H173*AP173</f>
        <v>0</v>
      </c>
      <c r="BJ173" s="26">
        <f>H173*I173</f>
        <v>0</v>
      </c>
      <c r="BK173" s="26" t="s">
        <v>573</v>
      </c>
      <c r="BL173" s="40" t="s">
        <v>289</v>
      </c>
    </row>
    <row r="174" spans="1:64" x14ac:dyDescent="0.25">
      <c r="A174" s="4" t="s">
        <v>135</v>
      </c>
      <c r="B174" s="14" t="s">
        <v>291</v>
      </c>
      <c r="C174" s="135" t="s">
        <v>467</v>
      </c>
      <c r="D174" s="136"/>
      <c r="E174" s="136"/>
      <c r="F174" s="136"/>
      <c r="G174" s="14" t="s">
        <v>500</v>
      </c>
      <c r="H174" s="26">
        <v>4</v>
      </c>
      <c r="I174" s="26">
        <v>0</v>
      </c>
      <c r="J174" s="26">
        <f>H174*AO174</f>
        <v>0</v>
      </c>
      <c r="K174" s="26">
        <f>H174*AP174</f>
        <v>0</v>
      </c>
      <c r="L174" s="26">
        <f>H174*I174</f>
        <v>0</v>
      </c>
      <c r="M174" s="26">
        <v>1.0840000000000001E-2</v>
      </c>
      <c r="N174" s="49">
        <f>H174*174</f>
        <v>696</v>
      </c>
      <c r="O174" s="6"/>
      <c r="Z174" s="40">
        <f>IF(AQ174="5",BJ174,0)</f>
        <v>0</v>
      </c>
      <c r="AB174" s="40">
        <f>IF(AQ174="1",BH174,0)</f>
        <v>0</v>
      </c>
      <c r="AC174" s="40">
        <f>IF(AQ174="1",BI174,0)</f>
        <v>0</v>
      </c>
      <c r="AD174" s="40">
        <f>IF(AQ174="7",BH174,0)</f>
        <v>0</v>
      </c>
      <c r="AE174" s="40">
        <f>IF(AQ174="7",BI174,0)</f>
        <v>0</v>
      </c>
      <c r="AF174" s="40">
        <f>IF(AQ174="2",BH174,0)</f>
        <v>0</v>
      </c>
      <c r="AG174" s="40">
        <f>IF(AQ174="2",BI174,0)</f>
        <v>0</v>
      </c>
      <c r="AH174" s="40">
        <f>IF(AQ174="0",BJ174,0)</f>
        <v>0</v>
      </c>
      <c r="AI174" s="37"/>
      <c r="AJ174" s="26">
        <f>IF(AN174=0,L174,0)</f>
        <v>0</v>
      </c>
      <c r="AK174" s="26">
        <f>IF(AN174=15,L174,0)</f>
        <v>0</v>
      </c>
      <c r="AL174" s="26">
        <f>IF(AN174=21,L174,0)</f>
        <v>0</v>
      </c>
      <c r="AN174" s="40">
        <v>21</v>
      </c>
      <c r="AO174" s="40">
        <f>I174*0.705521472392638</f>
        <v>0</v>
      </c>
      <c r="AP174" s="40">
        <f>I174*(1-0.705521472392638)</f>
        <v>0</v>
      </c>
      <c r="AQ174" s="41" t="s">
        <v>8</v>
      </c>
      <c r="AV174" s="40">
        <f>AW174+AX174</f>
        <v>0</v>
      </c>
      <c r="AW174" s="40">
        <f>H174*AO174</f>
        <v>0</v>
      </c>
      <c r="AX174" s="40">
        <f>H174*AP174</f>
        <v>0</v>
      </c>
      <c r="AY174" s="43" t="s">
        <v>555</v>
      </c>
      <c r="AZ174" s="43" t="s">
        <v>567</v>
      </c>
      <c r="BA174" s="37" t="s">
        <v>568</v>
      </c>
      <c r="BC174" s="40">
        <f>AW174+AX174</f>
        <v>0</v>
      </c>
      <c r="BD174" s="40">
        <f>I174/(100-BE174)*100</f>
        <v>0</v>
      </c>
      <c r="BE174" s="40">
        <v>0</v>
      </c>
      <c r="BF174" s="40">
        <f>N174</f>
        <v>696</v>
      </c>
      <c r="BH174" s="26">
        <f>H174*AO174</f>
        <v>0</v>
      </c>
      <c r="BI174" s="26">
        <f>H174*AP174</f>
        <v>0</v>
      </c>
      <c r="BJ174" s="26">
        <f>H174*I174</f>
        <v>0</v>
      </c>
      <c r="BK174" s="26" t="s">
        <v>573</v>
      </c>
      <c r="BL174" s="40" t="s">
        <v>289</v>
      </c>
    </row>
    <row r="175" spans="1:64" x14ac:dyDescent="0.25">
      <c r="A175" s="4" t="s">
        <v>136</v>
      </c>
      <c r="B175" s="14" t="s">
        <v>292</v>
      </c>
      <c r="C175" s="135" t="s">
        <v>468</v>
      </c>
      <c r="D175" s="136"/>
      <c r="E175" s="136"/>
      <c r="F175" s="136"/>
      <c r="G175" s="14" t="s">
        <v>500</v>
      </c>
      <c r="H175" s="26">
        <v>2</v>
      </c>
      <c r="I175" s="26">
        <v>0</v>
      </c>
      <c r="J175" s="26">
        <f>H175*AO175</f>
        <v>0</v>
      </c>
      <c r="K175" s="26">
        <f>H175*AP175</f>
        <v>0</v>
      </c>
      <c r="L175" s="26">
        <f>H175*I175</f>
        <v>0</v>
      </c>
      <c r="M175" s="26">
        <v>9.2700000000000005E-3</v>
      </c>
      <c r="N175" s="49">
        <f>H175*175</f>
        <v>350</v>
      </c>
      <c r="O175" s="6"/>
      <c r="Z175" s="40">
        <f>IF(AQ175="5",BJ175,0)</f>
        <v>0</v>
      </c>
      <c r="AB175" s="40">
        <f>IF(AQ175="1",BH175,0)</f>
        <v>0</v>
      </c>
      <c r="AC175" s="40">
        <f>IF(AQ175="1",BI175,0)</f>
        <v>0</v>
      </c>
      <c r="AD175" s="40">
        <f>IF(AQ175="7",BH175,0)</f>
        <v>0</v>
      </c>
      <c r="AE175" s="40">
        <f>IF(AQ175="7",BI175,0)</f>
        <v>0</v>
      </c>
      <c r="AF175" s="40">
        <f>IF(AQ175="2",BH175,0)</f>
        <v>0</v>
      </c>
      <c r="AG175" s="40">
        <f>IF(AQ175="2",BI175,0)</f>
        <v>0</v>
      </c>
      <c r="AH175" s="40">
        <f>IF(AQ175="0",BJ175,0)</f>
        <v>0</v>
      </c>
      <c r="AI175" s="37"/>
      <c r="AJ175" s="26">
        <f>IF(AN175=0,L175,0)</f>
        <v>0</v>
      </c>
      <c r="AK175" s="26">
        <f>IF(AN175=15,L175,0)</f>
        <v>0</v>
      </c>
      <c r="AL175" s="26">
        <f>IF(AN175=21,L175,0)</f>
        <v>0</v>
      </c>
      <c r="AN175" s="40">
        <v>21</v>
      </c>
      <c r="AO175" s="40">
        <f>I175*0.835777126099707</f>
        <v>0</v>
      </c>
      <c r="AP175" s="40">
        <f>I175*(1-0.835777126099707)</f>
        <v>0</v>
      </c>
      <c r="AQ175" s="41" t="s">
        <v>8</v>
      </c>
      <c r="AV175" s="40">
        <f>AW175+AX175</f>
        <v>0</v>
      </c>
      <c r="AW175" s="40">
        <f>H175*AO175</f>
        <v>0</v>
      </c>
      <c r="AX175" s="40">
        <f>H175*AP175</f>
        <v>0</v>
      </c>
      <c r="AY175" s="43" t="s">
        <v>555</v>
      </c>
      <c r="AZ175" s="43" t="s">
        <v>567</v>
      </c>
      <c r="BA175" s="37" t="s">
        <v>568</v>
      </c>
      <c r="BC175" s="40">
        <f>AW175+AX175</f>
        <v>0</v>
      </c>
      <c r="BD175" s="40">
        <f>I175/(100-BE175)*100</f>
        <v>0</v>
      </c>
      <c r="BE175" s="40">
        <v>0</v>
      </c>
      <c r="BF175" s="40">
        <f>N175</f>
        <v>350</v>
      </c>
      <c r="BH175" s="26">
        <f>H175*AO175</f>
        <v>0</v>
      </c>
      <c r="BI175" s="26">
        <f>H175*AP175</f>
        <v>0</v>
      </c>
      <c r="BJ175" s="26">
        <f>H175*I175</f>
        <v>0</v>
      </c>
      <c r="BK175" s="26" t="s">
        <v>573</v>
      </c>
      <c r="BL175" s="40" t="s">
        <v>289</v>
      </c>
    </row>
    <row r="176" spans="1:64" x14ac:dyDescent="0.25">
      <c r="A176" s="4" t="s">
        <v>137</v>
      </c>
      <c r="B176" s="14" t="s">
        <v>293</v>
      </c>
      <c r="C176" s="135" t="s">
        <v>469</v>
      </c>
      <c r="D176" s="136"/>
      <c r="E176" s="136"/>
      <c r="F176" s="136"/>
      <c r="G176" s="14" t="s">
        <v>500</v>
      </c>
      <c r="H176" s="26">
        <v>2</v>
      </c>
      <c r="I176" s="26">
        <v>0</v>
      </c>
      <c r="J176" s="26">
        <f>H176*AO176</f>
        <v>0</v>
      </c>
      <c r="K176" s="26">
        <f>H176*AP176</f>
        <v>0</v>
      </c>
      <c r="L176" s="26">
        <f>H176*I176</f>
        <v>0</v>
      </c>
      <c r="M176" s="26">
        <v>1.529E-2</v>
      </c>
      <c r="N176" s="49">
        <f>H176*176</f>
        <v>352</v>
      </c>
      <c r="O176" s="6"/>
      <c r="Z176" s="40">
        <f>IF(AQ176="5",BJ176,0)</f>
        <v>0</v>
      </c>
      <c r="AB176" s="40">
        <f>IF(AQ176="1",BH176,0)</f>
        <v>0</v>
      </c>
      <c r="AC176" s="40">
        <f>IF(AQ176="1",BI176,0)</f>
        <v>0</v>
      </c>
      <c r="AD176" s="40">
        <f>IF(AQ176="7",BH176,0)</f>
        <v>0</v>
      </c>
      <c r="AE176" s="40">
        <f>IF(AQ176="7",BI176,0)</f>
        <v>0</v>
      </c>
      <c r="AF176" s="40">
        <f>IF(AQ176="2",BH176,0)</f>
        <v>0</v>
      </c>
      <c r="AG176" s="40">
        <f>IF(AQ176="2",BI176,0)</f>
        <v>0</v>
      </c>
      <c r="AH176" s="40">
        <f>IF(AQ176="0",BJ176,0)</f>
        <v>0</v>
      </c>
      <c r="AI176" s="37"/>
      <c r="AJ176" s="26">
        <f>IF(AN176=0,L176,0)</f>
        <v>0</v>
      </c>
      <c r="AK176" s="26">
        <f>IF(AN176=15,L176,0)</f>
        <v>0</v>
      </c>
      <c r="AL176" s="26">
        <f>IF(AN176=21,L176,0)</f>
        <v>0</v>
      </c>
      <c r="AN176" s="40">
        <v>21</v>
      </c>
      <c r="AO176" s="40">
        <f>I176*0.39167701863354</f>
        <v>0</v>
      </c>
      <c r="AP176" s="40">
        <f>I176*(1-0.39167701863354)</f>
        <v>0</v>
      </c>
      <c r="AQ176" s="41" t="s">
        <v>8</v>
      </c>
      <c r="AV176" s="40">
        <f>AW176+AX176</f>
        <v>0</v>
      </c>
      <c r="AW176" s="40">
        <f>H176*AO176</f>
        <v>0</v>
      </c>
      <c r="AX176" s="40">
        <f>H176*AP176</f>
        <v>0</v>
      </c>
      <c r="AY176" s="43" t="s">
        <v>555</v>
      </c>
      <c r="AZ176" s="43" t="s">
        <v>567</v>
      </c>
      <c r="BA176" s="37" t="s">
        <v>568</v>
      </c>
      <c r="BC176" s="40">
        <f>AW176+AX176</f>
        <v>0</v>
      </c>
      <c r="BD176" s="40">
        <f>I176/(100-BE176)*100</f>
        <v>0</v>
      </c>
      <c r="BE176" s="40">
        <v>0</v>
      </c>
      <c r="BF176" s="40">
        <f>N176</f>
        <v>352</v>
      </c>
      <c r="BH176" s="26">
        <f>H176*AO176</f>
        <v>0</v>
      </c>
      <c r="BI176" s="26">
        <f>H176*AP176</f>
        <v>0</v>
      </c>
      <c r="BJ176" s="26">
        <f>H176*I176</f>
        <v>0</v>
      </c>
      <c r="BK176" s="26" t="s">
        <v>573</v>
      </c>
      <c r="BL176" s="40" t="s">
        <v>289</v>
      </c>
    </row>
    <row r="177" spans="1:64" x14ac:dyDescent="0.25">
      <c r="A177" s="4" t="s">
        <v>138</v>
      </c>
      <c r="B177" s="14" t="s">
        <v>294</v>
      </c>
      <c r="C177" s="135" t="s">
        <v>470</v>
      </c>
      <c r="D177" s="136"/>
      <c r="E177" s="136"/>
      <c r="F177" s="136"/>
      <c r="G177" s="14" t="s">
        <v>500</v>
      </c>
      <c r="H177" s="26">
        <v>1</v>
      </c>
      <c r="I177" s="26">
        <v>0</v>
      </c>
      <c r="J177" s="26">
        <f>H177*AO177</f>
        <v>0</v>
      </c>
      <c r="K177" s="26">
        <f>H177*AP177</f>
        <v>0</v>
      </c>
      <c r="L177" s="26">
        <f>H177*I177</f>
        <v>0</v>
      </c>
      <c r="M177" s="26">
        <v>1.3140000000000001E-2</v>
      </c>
      <c r="N177" s="49">
        <f>H177*177</f>
        <v>177</v>
      </c>
      <c r="O177" s="6"/>
      <c r="Z177" s="40">
        <f>IF(AQ177="5",BJ177,0)</f>
        <v>0</v>
      </c>
      <c r="AB177" s="40">
        <f>IF(AQ177="1",BH177,0)</f>
        <v>0</v>
      </c>
      <c r="AC177" s="40">
        <f>IF(AQ177="1",BI177,0)</f>
        <v>0</v>
      </c>
      <c r="AD177" s="40">
        <f>IF(AQ177="7",BH177,0)</f>
        <v>0</v>
      </c>
      <c r="AE177" s="40">
        <f>IF(AQ177="7",BI177,0)</f>
        <v>0</v>
      </c>
      <c r="AF177" s="40">
        <f>IF(AQ177="2",BH177,0)</f>
        <v>0</v>
      </c>
      <c r="AG177" s="40">
        <f>IF(AQ177="2",BI177,0)</f>
        <v>0</v>
      </c>
      <c r="AH177" s="40">
        <f>IF(AQ177="0",BJ177,0)</f>
        <v>0</v>
      </c>
      <c r="AI177" s="37"/>
      <c r="AJ177" s="26">
        <f>IF(AN177=0,L177,0)</f>
        <v>0</v>
      </c>
      <c r="AK177" s="26">
        <f>IF(AN177=15,L177,0)</f>
        <v>0</v>
      </c>
      <c r="AL177" s="26">
        <f>IF(AN177=21,L177,0)</f>
        <v>0</v>
      </c>
      <c r="AN177" s="40">
        <v>21</v>
      </c>
      <c r="AO177" s="40">
        <f>I177*0.478848413631022</f>
        <v>0</v>
      </c>
      <c r="AP177" s="40">
        <f>I177*(1-0.478848413631022)</f>
        <v>0</v>
      </c>
      <c r="AQ177" s="41" t="s">
        <v>8</v>
      </c>
      <c r="AV177" s="40">
        <f>AW177+AX177</f>
        <v>0</v>
      </c>
      <c r="AW177" s="40">
        <f>H177*AO177</f>
        <v>0</v>
      </c>
      <c r="AX177" s="40">
        <f>H177*AP177</f>
        <v>0</v>
      </c>
      <c r="AY177" s="43" t="s">
        <v>555</v>
      </c>
      <c r="AZ177" s="43" t="s">
        <v>567</v>
      </c>
      <c r="BA177" s="37" t="s">
        <v>568</v>
      </c>
      <c r="BC177" s="40">
        <f>AW177+AX177</f>
        <v>0</v>
      </c>
      <c r="BD177" s="40">
        <f>I177/(100-BE177)*100</f>
        <v>0</v>
      </c>
      <c r="BE177" s="40">
        <v>0</v>
      </c>
      <c r="BF177" s="40">
        <f>N177</f>
        <v>177</v>
      </c>
      <c r="BH177" s="26">
        <f>H177*AO177</f>
        <v>0</v>
      </c>
      <c r="BI177" s="26">
        <f>H177*AP177</f>
        <v>0</v>
      </c>
      <c r="BJ177" s="26">
        <f>H177*I177</f>
        <v>0</v>
      </c>
      <c r="BK177" s="26" t="s">
        <v>573</v>
      </c>
      <c r="BL177" s="40" t="s">
        <v>289</v>
      </c>
    </row>
    <row r="178" spans="1:64" x14ac:dyDescent="0.25">
      <c r="A178" s="5"/>
      <c r="B178" s="15" t="s">
        <v>295</v>
      </c>
      <c r="C178" s="137" t="s">
        <v>471</v>
      </c>
      <c r="D178" s="138"/>
      <c r="E178" s="138"/>
      <c r="F178" s="138"/>
      <c r="G178" s="24" t="s">
        <v>6</v>
      </c>
      <c r="H178" s="24" t="s">
        <v>6</v>
      </c>
      <c r="I178" s="24" t="s">
        <v>6</v>
      </c>
      <c r="J178" s="46">
        <f>SUM(J179:J183)</f>
        <v>0</v>
      </c>
      <c r="K178" s="46">
        <f>SUM(K179:K183)</f>
        <v>0</v>
      </c>
      <c r="L178" s="46">
        <f>SUM(L179:L183)</f>
        <v>0</v>
      </c>
      <c r="M178" s="37"/>
      <c r="N178" s="50">
        <f>SUM(N179:N183)</f>
        <v>1085</v>
      </c>
      <c r="O178" s="6"/>
      <c r="AI178" s="37"/>
      <c r="AS178" s="46">
        <f>SUM(AJ179:AJ183)</f>
        <v>0</v>
      </c>
      <c r="AT178" s="46">
        <f>SUM(AK179:AK183)</f>
        <v>0</v>
      </c>
      <c r="AU178" s="46">
        <f>SUM(AL179:AL183)</f>
        <v>0</v>
      </c>
    </row>
    <row r="179" spans="1:64" x14ac:dyDescent="0.25">
      <c r="A179" s="4" t="s">
        <v>139</v>
      </c>
      <c r="B179" s="14" t="s">
        <v>296</v>
      </c>
      <c r="C179" s="135" t="s">
        <v>472</v>
      </c>
      <c r="D179" s="136"/>
      <c r="E179" s="136"/>
      <c r="F179" s="136"/>
      <c r="G179" s="14" t="s">
        <v>504</v>
      </c>
      <c r="H179" s="26">
        <v>1</v>
      </c>
      <c r="I179" s="26">
        <v>0</v>
      </c>
      <c r="J179" s="26">
        <f>H179*AO179</f>
        <v>0</v>
      </c>
      <c r="K179" s="26">
        <f>H179*AP179</f>
        <v>0</v>
      </c>
      <c r="L179" s="26">
        <f>H179*I179</f>
        <v>0</v>
      </c>
      <c r="M179" s="26">
        <v>0</v>
      </c>
      <c r="N179" s="49">
        <f>H179*179</f>
        <v>179</v>
      </c>
      <c r="O179" s="6"/>
      <c r="Z179" s="40">
        <f>IF(AQ179="5",BJ179,0)</f>
        <v>0</v>
      </c>
      <c r="AB179" s="40">
        <f>IF(AQ179="1",BH179,0)</f>
        <v>0</v>
      </c>
      <c r="AC179" s="40">
        <f>IF(AQ179="1",BI179,0)</f>
        <v>0</v>
      </c>
      <c r="AD179" s="40">
        <f>IF(AQ179="7",BH179,0)</f>
        <v>0</v>
      </c>
      <c r="AE179" s="40">
        <f>IF(AQ179="7",BI179,0)</f>
        <v>0</v>
      </c>
      <c r="AF179" s="40">
        <f>IF(AQ179="2",BH179,0)</f>
        <v>0</v>
      </c>
      <c r="AG179" s="40">
        <f>IF(AQ179="2",BI179,0)</f>
        <v>0</v>
      </c>
      <c r="AH179" s="40">
        <f>IF(AQ179="0",BJ179,0)</f>
        <v>0</v>
      </c>
      <c r="AI179" s="37"/>
      <c r="AJ179" s="26">
        <f>IF(AN179=0,L179,0)</f>
        <v>0</v>
      </c>
      <c r="AK179" s="26">
        <f>IF(AN179=15,L179,0)</f>
        <v>0</v>
      </c>
      <c r="AL179" s="26">
        <f>IF(AN179=21,L179,0)</f>
        <v>0</v>
      </c>
      <c r="AN179" s="40">
        <v>21</v>
      </c>
      <c r="AO179" s="40">
        <f>I179*0</f>
        <v>0</v>
      </c>
      <c r="AP179" s="40">
        <f>I179*(1-0)</f>
        <v>0</v>
      </c>
      <c r="AQ179" s="41" t="s">
        <v>8</v>
      </c>
      <c r="AV179" s="40">
        <f>AW179+AX179</f>
        <v>0</v>
      </c>
      <c r="AW179" s="40">
        <f>H179*AO179</f>
        <v>0</v>
      </c>
      <c r="AX179" s="40">
        <f>H179*AP179</f>
        <v>0</v>
      </c>
      <c r="AY179" s="43" t="s">
        <v>556</v>
      </c>
      <c r="AZ179" s="43" t="s">
        <v>567</v>
      </c>
      <c r="BA179" s="37" t="s">
        <v>568</v>
      </c>
      <c r="BC179" s="40">
        <f>AW179+AX179</f>
        <v>0</v>
      </c>
      <c r="BD179" s="40">
        <f>I179/(100-BE179)*100</f>
        <v>0</v>
      </c>
      <c r="BE179" s="40">
        <v>0</v>
      </c>
      <c r="BF179" s="40">
        <f>N179</f>
        <v>179</v>
      </c>
      <c r="BH179" s="26">
        <f>H179*AO179</f>
        <v>0</v>
      </c>
      <c r="BI179" s="26">
        <f>H179*AP179</f>
        <v>0</v>
      </c>
      <c r="BJ179" s="26">
        <f>H179*I179</f>
        <v>0</v>
      </c>
      <c r="BK179" s="26" t="s">
        <v>573</v>
      </c>
      <c r="BL179" s="40" t="s">
        <v>295</v>
      </c>
    </row>
    <row r="180" spans="1:64" x14ac:dyDescent="0.25">
      <c r="A180" s="4" t="s">
        <v>140</v>
      </c>
      <c r="B180" s="14" t="s">
        <v>297</v>
      </c>
      <c r="C180" s="135" t="s">
        <v>473</v>
      </c>
      <c r="D180" s="136"/>
      <c r="E180" s="136"/>
      <c r="F180" s="136"/>
      <c r="G180" s="14" t="s">
        <v>504</v>
      </c>
      <c r="H180" s="26">
        <v>2</v>
      </c>
      <c r="I180" s="26">
        <v>0</v>
      </c>
      <c r="J180" s="26">
        <f>H180*AO180</f>
        <v>0</v>
      </c>
      <c r="K180" s="26">
        <f>H180*AP180</f>
        <v>0</v>
      </c>
      <c r="L180" s="26">
        <f>H180*I180</f>
        <v>0</v>
      </c>
      <c r="M180" s="26">
        <v>0</v>
      </c>
      <c r="N180" s="49">
        <f>H180*180</f>
        <v>360</v>
      </c>
      <c r="O180" s="6"/>
      <c r="Z180" s="40">
        <f>IF(AQ180="5",BJ180,0)</f>
        <v>0</v>
      </c>
      <c r="AB180" s="40">
        <f>IF(AQ180="1",BH180,0)</f>
        <v>0</v>
      </c>
      <c r="AC180" s="40">
        <f>IF(AQ180="1",BI180,0)</f>
        <v>0</v>
      </c>
      <c r="AD180" s="40">
        <f>IF(AQ180="7",BH180,0)</f>
        <v>0</v>
      </c>
      <c r="AE180" s="40">
        <f>IF(AQ180="7",BI180,0)</f>
        <v>0</v>
      </c>
      <c r="AF180" s="40">
        <f>IF(AQ180="2",BH180,0)</f>
        <v>0</v>
      </c>
      <c r="AG180" s="40">
        <f>IF(AQ180="2",BI180,0)</f>
        <v>0</v>
      </c>
      <c r="AH180" s="40">
        <f>IF(AQ180="0",BJ180,0)</f>
        <v>0</v>
      </c>
      <c r="AI180" s="37"/>
      <c r="AJ180" s="26">
        <f>IF(AN180=0,L180,0)</f>
        <v>0</v>
      </c>
      <c r="AK180" s="26">
        <f>IF(AN180=15,L180,0)</f>
        <v>0</v>
      </c>
      <c r="AL180" s="26">
        <f>IF(AN180=21,L180,0)</f>
        <v>0</v>
      </c>
      <c r="AN180" s="40">
        <v>21</v>
      </c>
      <c r="AO180" s="40">
        <f>I180*0</f>
        <v>0</v>
      </c>
      <c r="AP180" s="40">
        <f>I180*(1-0)</f>
        <v>0</v>
      </c>
      <c r="AQ180" s="41" t="s">
        <v>8</v>
      </c>
      <c r="AV180" s="40">
        <f>AW180+AX180</f>
        <v>0</v>
      </c>
      <c r="AW180" s="40">
        <f>H180*AO180</f>
        <v>0</v>
      </c>
      <c r="AX180" s="40">
        <f>H180*AP180</f>
        <v>0</v>
      </c>
      <c r="AY180" s="43" t="s">
        <v>556</v>
      </c>
      <c r="AZ180" s="43" t="s">
        <v>567</v>
      </c>
      <c r="BA180" s="37" t="s">
        <v>568</v>
      </c>
      <c r="BC180" s="40">
        <f>AW180+AX180</f>
        <v>0</v>
      </c>
      <c r="BD180" s="40">
        <f>I180/(100-BE180)*100</f>
        <v>0</v>
      </c>
      <c r="BE180" s="40">
        <v>0</v>
      </c>
      <c r="BF180" s="40">
        <f>N180</f>
        <v>360</v>
      </c>
      <c r="BH180" s="26">
        <f>H180*AO180</f>
        <v>0</v>
      </c>
      <c r="BI180" s="26">
        <f>H180*AP180</f>
        <v>0</v>
      </c>
      <c r="BJ180" s="26">
        <f>H180*I180</f>
        <v>0</v>
      </c>
      <c r="BK180" s="26" t="s">
        <v>573</v>
      </c>
      <c r="BL180" s="40" t="s">
        <v>295</v>
      </c>
    </row>
    <row r="181" spans="1:64" x14ac:dyDescent="0.25">
      <c r="A181" s="4" t="s">
        <v>141</v>
      </c>
      <c r="B181" s="14" t="s">
        <v>298</v>
      </c>
      <c r="C181" s="135" t="s">
        <v>474</v>
      </c>
      <c r="D181" s="136"/>
      <c r="E181" s="136"/>
      <c r="F181" s="136"/>
      <c r="G181" s="14" t="s">
        <v>504</v>
      </c>
      <c r="H181" s="26">
        <v>1</v>
      </c>
      <c r="I181" s="26">
        <v>0</v>
      </c>
      <c r="J181" s="26">
        <f>H181*AO181</f>
        <v>0</v>
      </c>
      <c r="K181" s="26">
        <f>H181*AP181</f>
        <v>0</v>
      </c>
      <c r="L181" s="26">
        <f>H181*I181</f>
        <v>0</v>
      </c>
      <c r="M181" s="26">
        <v>0</v>
      </c>
      <c r="N181" s="49">
        <f>H181*181</f>
        <v>181</v>
      </c>
      <c r="O181" s="6"/>
      <c r="Z181" s="40">
        <f>IF(AQ181="5",BJ181,0)</f>
        <v>0</v>
      </c>
      <c r="AB181" s="40">
        <f>IF(AQ181="1",BH181,0)</f>
        <v>0</v>
      </c>
      <c r="AC181" s="40">
        <f>IF(AQ181="1",BI181,0)</f>
        <v>0</v>
      </c>
      <c r="AD181" s="40">
        <f>IF(AQ181="7",BH181,0)</f>
        <v>0</v>
      </c>
      <c r="AE181" s="40">
        <f>IF(AQ181="7",BI181,0)</f>
        <v>0</v>
      </c>
      <c r="AF181" s="40">
        <f>IF(AQ181="2",BH181,0)</f>
        <v>0</v>
      </c>
      <c r="AG181" s="40">
        <f>IF(AQ181="2",BI181,0)</f>
        <v>0</v>
      </c>
      <c r="AH181" s="40">
        <f>IF(AQ181="0",BJ181,0)</f>
        <v>0</v>
      </c>
      <c r="AI181" s="37"/>
      <c r="AJ181" s="26">
        <f>IF(AN181=0,L181,0)</f>
        <v>0</v>
      </c>
      <c r="AK181" s="26">
        <f>IF(AN181=15,L181,0)</f>
        <v>0</v>
      </c>
      <c r="AL181" s="26">
        <f>IF(AN181=21,L181,0)</f>
        <v>0</v>
      </c>
      <c r="AN181" s="40">
        <v>21</v>
      </c>
      <c r="AO181" s="40">
        <f>I181*0</f>
        <v>0</v>
      </c>
      <c r="AP181" s="40">
        <f>I181*(1-0)</f>
        <v>0</v>
      </c>
      <c r="AQ181" s="41" t="s">
        <v>8</v>
      </c>
      <c r="AV181" s="40">
        <f>AW181+AX181</f>
        <v>0</v>
      </c>
      <c r="AW181" s="40">
        <f>H181*AO181</f>
        <v>0</v>
      </c>
      <c r="AX181" s="40">
        <f>H181*AP181</f>
        <v>0</v>
      </c>
      <c r="AY181" s="43" t="s">
        <v>556</v>
      </c>
      <c r="AZ181" s="43" t="s">
        <v>567</v>
      </c>
      <c r="BA181" s="37" t="s">
        <v>568</v>
      </c>
      <c r="BC181" s="40">
        <f>AW181+AX181</f>
        <v>0</v>
      </c>
      <c r="BD181" s="40">
        <f>I181/(100-BE181)*100</f>
        <v>0</v>
      </c>
      <c r="BE181" s="40">
        <v>0</v>
      </c>
      <c r="BF181" s="40">
        <f>N181</f>
        <v>181</v>
      </c>
      <c r="BH181" s="26">
        <f>H181*AO181</f>
        <v>0</v>
      </c>
      <c r="BI181" s="26">
        <f>H181*AP181</f>
        <v>0</v>
      </c>
      <c r="BJ181" s="26">
        <f>H181*I181</f>
        <v>0</v>
      </c>
      <c r="BK181" s="26" t="s">
        <v>573</v>
      </c>
      <c r="BL181" s="40" t="s">
        <v>295</v>
      </c>
    </row>
    <row r="182" spans="1:64" x14ac:dyDescent="0.25">
      <c r="A182" s="4" t="s">
        <v>142</v>
      </c>
      <c r="B182" s="14" t="s">
        <v>299</v>
      </c>
      <c r="C182" s="135" t="s">
        <v>475</v>
      </c>
      <c r="D182" s="136"/>
      <c r="E182" s="136"/>
      <c r="F182" s="136"/>
      <c r="G182" s="14" t="s">
        <v>504</v>
      </c>
      <c r="H182" s="26">
        <v>1</v>
      </c>
      <c r="I182" s="26">
        <v>0</v>
      </c>
      <c r="J182" s="26">
        <f>H182*AO182</f>
        <v>0</v>
      </c>
      <c r="K182" s="26">
        <f>H182*AP182</f>
        <v>0</v>
      </c>
      <c r="L182" s="26">
        <f>H182*I182</f>
        <v>0</v>
      </c>
      <c r="M182" s="26">
        <v>0</v>
      </c>
      <c r="N182" s="49">
        <f>H182*182</f>
        <v>182</v>
      </c>
      <c r="O182" s="6"/>
      <c r="Z182" s="40">
        <f>IF(AQ182="5",BJ182,0)</f>
        <v>0</v>
      </c>
      <c r="AB182" s="40">
        <f>IF(AQ182="1",BH182,0)</f>
        <v>0</v>
      </c>
      <c r="AC182" s="40">
        <f>IF(AQ182="1",BI182,0)</f>
        <v>0</v>
      </c>
      <c r="AD182" s="40">
        <f>IF(AQ182="7",BH182,0)</f>
        <v>0</v>
      </c>
      <c r="AE182" s="40">
        <f>IF(AQ182="7",BI182,0)</f>
        <v>0</v>
      </c>
      <c r="AF182" s="40">
        <f>IF(AQ182="2",BH182,0)</f>
        <v>0</v>
      </c>
      <c r="AG182" s="40">
        <f>IF(AQ182="2",BI182,0)</f>
        <v>0</v>
      </c>
      <c r="AH182" s="40">
        <f>IF(AQ182="0",BJ182,0)</f>
        <v>0</v>
      </c>
      <c r="AI182" s="37"/>
      <c r="AJ182" s="26">
        <f>IF(AN182=0,L182,0)</f>
        <v>0</v>
      </c>
      <c r="AK182" s="26">
        <f>IF(AN182=15,L182,0)</f>
        <v>0</v>
      </c>
      <c r="AL182" s="26">
        <f>IF(AN182=21,L182,0)</f>
        <v>0</v>
      </c>
      <c r="AN182" s="40">
        <v>21</v>
      </c>
      <c r="AO182" s="40">
        <f>I182*0</f>
        <v>0</v>
      </c>
      <c r="AP182" s="40">
        <f>I182*(1-0)</f>
        <v>0</v>
      </c>
      <c r="AQ182" s="41" t="s">
        <v>8</v>
      </c>
      <c r="AV182" s="40">
        <f>AW182+AX182</f>
        <v>0</v>
      </c>
      <c r="AW182" s="40">
        <f>H182*AO182</f>
        <v>0</v>
      </c>
      <c r="AX182" s="40">
        <f>H182*AP182</f>
        <v>0</v>
      </c>
      <c r="AY182" s="43" t="s">
        <v>556</v>
      </c>
      <c r="AZ182" s="43" t="s">
        <v>567</v>
      </c>
      <c r="BA182" s="37" t="s">
        <v>568</v>
      </c>
      <c r="BC182" s="40">
        <f>AW182+AX182</f>
        <v>0</v>
      </c>
      <c r="BD182" s="40">
        <f>I182/(100-BE182)*100</f>
        <v>0</v>
      </c>
      <c r="BE182" s="40">
        <v>0</v>
      </c>
      <c r="BF182" s="40">
        <f>N182</f>
        <v>182</v>
      </c>
      <c r="BH182" s="26">
        <f>H182*AO182</f>
        <v>0</v>
      </c>
      <c r="BI182" s="26">
        <f>H182*AP182</f>
        <v>0</v>
      </c>
      <c r="BJ182" s="26">
        <f>H182*I182</f>
        <v>0</v>
      </c>
      <c r="BK182" s="26" t="s">
        <v>573</v>
      </c>
      <c r="BL182" s="40" t="s">
        <v>295</v>
      </c>
    </row>
    <row r="183" spans="1:64" x14ac:dyDescent="0.25">
      <c r="A183" s="4" t="s">
        <v>143</v>
      </c>
      <c r="B183" s="14" t="s">
        <v>300</v>
      </c>
      <c r="C183" s="135" t="s">
        <v>476</v>
      </c>
      <c r="D183" s="136"/>
      <c r="E183" s="136"/>
      <c r="F183" s="136"/>
      <c r="G183" s="14" t="s">
        <v>504</v>
      </c>
      <c r="H183" s="26">
        <v>1</v>
      </c>
      <c r="I183" s="26">
        <v>0</v>
      </c>
      <c r="J183" s="26">
        <f>H183*AO183</f>
        <v>0</v>
      </c>
      <c r="K183" s="26">
        <f>H183*AP183</f>
        <v>0</v>
      </c>
      <c r="L183" s="26">
        <f>H183*I183</f>
        <v>0</v>
      </c>
      <c r="M183" s="26">
        <v>0</v>
      </c>
      <c r="N183" s="49">
        <f>H183*183</f>
        <v>183</v>
      </c>
      <c r="O183" s="6"/>
      <c r="Z183" s="40">
        <f>IF(AQ183="5",BJ183,0)</f>
        <v>0</v>
      </c>
      <c r="AB183" s="40">
        <f>IF(AQ183="1",BH183,0)</f>
        <v>0</v>
      </c>
      <c r="AC183" s="40">
        <f>IF(AQ183="1",BI183,0)</f>
        <v>0</v>
      </c>
      <c r="AD183" s="40">
        <f>IF(AQ183="7",BH183,0)</f>
        <v>0</v>
      </c>
      <c r="AE183" s="40">
        <f>IF(AQ183="7",BI183,0)</f>
        <v>0</v>
      </c>
      <c r="AF183" s="40">
        <f>IF(AQ183="2",BH183,0)</f>
        <v>0</v>
      </c>
      <c r="AG183" s="40">
        <f>IF(AQ183="2",BI183,0)</f>
        <v>0</v>
      </c>
      <c r="AH183" s="40">
        <f>IF(AQ183="0",BJ183,0)</f>
        <v>0</v>
      </c>
      <c r="AI183" s="37"/>
      <c r="AJ183" s="26">
        <f>IF(AN183=0,L183,0)</f>
        <v>0</v>
      </c>
      <c r="AK183" s="26">
        <f>IF(AN183=15,L183,0)</f>
        <v>0</v>
      </c>
      <c r="AL183" s="26">
        <f>IF(AN183=21,L183,0)</f>
        <v>0</v>
      </c>
      <c r="AN183" s="40">
        <v>21</v>
      </c>
      <c r="AO183" s="40">
        <f>I183*0</f>
        <v>0</v>
      </c>
      <c r="AP183" s="40">
        <f>I183*(1-0)</f>
        <v>0</v>
      </c>
      <c r="AQ183" s="41" t="s">
        <v>8</v>
      </c>
      <c r="AV183" s="40">
        <f>AW183+AX183</f>
        <v>0</v>
      </c>
      <c r="AW183" s="40">
        <f>H183*AO183</f>
        <v>0</v>
      </c>
      <c r="AX183" s="40">
        <f>H183*AP183</f>
        <v>0</v>
      </c>
      <c r="AY183" s="43" t="s">
        <v>556</v>
      </c>
      <c r="AZ183" s="43" t="s">
        <v>567</v>
      </c>
      <c r="BA183" s="37" t="s">
        <v>568</v>
      </c>
      <c r="BC183" s="40">
        <f>AW183+AX183</f>
        <v>0</v>
      </c>
      <c r="BD183" s="40">
        <f>I183/(100-BE183)*100</f>
        <v>0</v>
      </c>
      <c r="BE183" s="40">
        <v>0</v>
      </c>
      <c r="BF183" s="40">
        <f>N183</f>
        <v>183</v>
      </c>
      <c r="BH183" s="26">
        <f>H183*AO183</f>
        <v>0</v>
      </c>
      <c r="BI183" s="26">
        <f>H183*AP183</f>
        <v>0</v>
      </c>
      <c r="BJ183" s="26">
        <f>H183*I183</f>
        <v>0</v>
      </c>
      <c r="BK183" s="26" t="s">
        <v>573</v>
      </c>
      <c r="BL183" s="40" t="s">
        <v>295</v>
      </c>
    </row>
    <row r="184" spans="1:64" x14ac:dyDescent="0.25">
      <c r="A184" s="5"/>
      <c r="B184" s="15" t="s">
        <v>301</v>
      </c>
      <c r="C184" s="137" t="s">
        <v>477</v>
      </c>
      <c r="D184" s="138"/>
      <c r="E184" s="138"/>
      <c r="F184" s="138"/>
      <c r="G184" s="24" t="s">
        <v>6</v>
      </c>
      <c r="H184" s="24" t="s">
        <v>6</v>
      </c>
      <c r="I184" s="24" t="s">
        <v>6</v>
      </c>
      <c r="J184" s="46">
        <f>SUM(J185:J187)</f>
        <v>0</v>
      </c>
      <c r="K184" s="46">
        <f>SUM(K185:K187)</f>
        <v>0</v>
      </c>
      <c r="L184" s="46">
        <f>SUM(L185:L187)</f>
        <v>0</v>
      </c>
      <c r="M184" s="37"/>
      <c r="N184" s="50">
        <f>SUM(N185:N187)</f>
        <v>466</v>
      </c>
      <c r="O184" s="6"/>
      <c r="AI184" s="37"/>
      <c r="AS184" s="46">
        <f>SUM(AJ185:AJ187)</f>
        <v>0</v>
      </c>
      <c r="AT184" s="46">
        <f>SUM(AK185:AK187)</f>
        <v>0</v>
      </c>
      <c r="AU184" s="46">
        <f>SUM(AL185:AL187)</f>
        <v>0</v>
      </c>
    </row>
    <row r="185" spans="1:64" x14ac:dyDescent="0.25">
      <c r="A185" s="4" t="s">
        <v>144</v>
      </c>
      <c r="B185" s="14" t="s">
        <v>302</v>
      </c>
      <c r="C185" s="135" t="s">
        <v>478</v>
      </c>
      <c r="D185" s="136"/>
      <c r="E185" s="136"/>
      <c r="F185" s="136"/>
      <c r="G185" s="14" t="s">
        <v>506</v>
      </c>
      <c r="H185" s="26">
        <v>0.5</v>
      </c>
      <c r="I185" s="26">
        <v>0</v>
      </c>
      <c r="J185" s="26">
        <f>H185*AO185</f>
        <v>0</v>
      </c>
      <c r="K185" s="26">
        <f>H185*AP185</f>
        <v>0</v>
      </c>
      <c r="L185" s="26">
        <f>H185*I185</f>
        <v>0</v>
      </c>
      <c r="M185" s="26">
        <v>0</v>
      </c>
      <c r="N185" s="49">
        <f>H185*185</f>
        <v>92.5</v>
      </c>
      <c r="O185" s="6"/>
      <c r="Z185" s="40">
        <f>IF(AQ185="5",BJ185,0)</f>
        <v>0</v>
      </c>
      <c r="AB185" s="40">
        <f>IF(AQ185="1",BH185,0)</f>
        <v>0</v>
      </c>
      <c r="AC185" s="40">
        <f>IF(AQ185="1",BI185,0)</f>
        <v>0</v>
      </c>
      <c r="AD185" s="40">
        <f>IF(AQ185="7",BH185,0)</f>
        <v>0</v>
      </c>
      <c r="AE185" s="40">
        <f>IF(AQ185="7",BI185,0)</f>
        <v>0</v>
      </c>
      <c r="AF185" s="40">
        <f>IF(AQ185="2",BH185,0)</f>
        <v>0</v>
      </c>
      <c r="AG185" s="40">
        <f>IF(AQ185="2",BI185,0)</f>
        <v>0</v>
      </c>
      <c r="AH185" s="40">
        <f>IF(AQ185="0",BJ185,0)</f>
        <v>0</v>
      </c>
      <c r="AI185" s="37"/>
      <c r="AJ185" s="26">
        <f>IF(AN185=0,L185,0)</f>
        <v>0</v>
      </c>
      <c r="AK185" s="26">
        <f>IF(AN185=15,L185,0)</f>
        <v>0</v>
      </c>
      <c r="AL185" s="26">
        <f>IF(AN185=21,L185,0)</f>
        <v>0</v>
      </c>
      <c r="AN185" s="40">
        <v>21</v>
      </c>
      <c r="AO185" s="40">
        <f>I185*0</f>
        <v>0</v>
      </c>
      <c r="AP185" s="40">
        <f>I185*(1-0)</f>
        <v>0</v>
      </c>
      <c r="AQ185" s="41" t="s">
        <v>11</v>
      </c>
      <c r="AV185" s="40">
        <f>AW185+AX185</f>
        <v>0</v>
      </c>
      <c r="AW185" s="40">
        <f>H185*AO185</f>
        <v>0</v>
      </c>
      <c r="AX185" s="40">
        <f>H185*AP185</f>
        <v>0</v>
      </c>
      <c r="AY185" s="43" t="s">
        <v>557</v>
      </c>
      <c r="AZ185" s="43" t="s">
        <v>567</v>
      </c>
      <c r="BA185" s="37" t="s">
        <v>568</v>
      </c>
      <c r="BC185" s="40">
        <f>AW185+AX185</f>
        <v>0</v>
      </c>
      <c r="BD185" s="40">
        <f>I185/(100-BE185)*100</f>
        <v>0</v>
      </c>
      <c r="BE185" s="40">
        <v>0</v>
      </c>
      <c r="BF185" s="40">
        <f>N185</f>
        <v>92.5</v>
      </c>
      <c r="BH185" s="26">
        <f>H185*AO185</f>
        <v>0</v>
      </c>
      <c r="BI185" s="26">
        <f>H185*AP185</f>
        <v>0</v>
      </c>
      <c r="BJ185" s="26">
        <f>H185*I185</f>
        <v>0</v>
      </c>
      <c r="BK185" s="26" t="s">
        <v>573</v>
      </c>
      <c r="BL185" s="40" t="s">
        <v>301</v>
      </c>
    </row>
    <row r="186" spans="1:64" x14ac:dyDescent="0.25">
      <c r="A186" s="4" t="s">
        <v>145</v>
      </c>
      <c r="B186" s="14" t="s">
        <v>303</v>
      </c>
      <c r="C186" s="135" t="s">
        <v>479</v>
      </c>
      <c r="D186" s="136"/>
      <c r="E186" s="136"/>
      <c r="F186" s="136"/>
      <c r="G186" s="14" t="s">
        <v>506</v>
      </c>
      <c r="H186" s="26">
        <v>0.5</v>
      </c>
      <c r="I186" s="26">
        <v>0</v>
      </c>
      <c r="J186" s="26">
        <f>H186*AO186</f>
        <v>0</v>
      </c>
      <c r="K186" s="26">
        <f>H186*AP186</f>
        <v>0</v>
      </c>
      <c r="L186" s="26">
        <f>H186*I186</f>
        <v>0</v>
      </c>
      <c r="M186" s="26">
        <v>0</v>
      </c>
      <c r="N186" s="49">
        <f>H186*186</f>
        <v>93</v>
      </c>
      <c r="O186" s="6"/>
      <c r="Z186" s="40">
        <f>IF(AQ186="5",BJ186,0)</f>
        <v>0</v>
      </c>
      <c r="AB186" s="40">
        <f>IF(AQ186="1",BH186,0)</f>
        <v>0</v>
      </c>
      <c r="AC186" s="40">
        <f>IF(AQ186="1",BI186,0)</f>
        <v>0</v>
      </c>
      <c r="AD186" s="40">
        <f>IF(AQ186="7",BH186,0)</f>
        <v>0</v>
      </c>
      <c r="AE186" s="40">
        <f>IF(AQ186="7",BI186,0)</f>
        <v>0</v>
      </c>
      <c r="AF186" s="40">
        <f>IF(AQ186="2",BH186,0)</f>
        <v>0</v>
      </c>
      <c r="AG186" s="40">
        <f>IF(AQ186="2",BI186,0)</f>
        <v>0</v>
      </c>
      <c r="AH186" s="40">
        <f>IF(AQ186="0",BJ186,0)</f>
        <v>0</v>
      </c>
      <c r="AI186" s="37"/>
      <c r="AJ186" s="26">
        <f>IF(AN186=0,L186,0)</f>
        <v>0</v>
      </c>
      <c r="AK186" s="26">
        <f>IF(AN186=15,L186,0)</f>
        <v>0</v>
      </c>
      <c r="AL186" s="26">
        <f>IF(AN186=21,L186,0)</f>
        <v>0</v>
      </c>
      <c r="AN186" s="40">
        <v>21</v>
      </c>
      <c r="AO186" s="40">
        <f>I186*0</f>
        <v>0</v>
      </c>
      <c r="AP186" s="40">
        <f>I186*(1-0)</f>
        <v>0</v>
      </c>
      <c r="AQ186" s="41" t="s">
        <v>11</v>
      </c>
      <c r="AV186" s="40">
        <f>AW186+AX186</f>
        <v>0</v>
      </c>
      <c r="AW186" s="40">
        <f>H186*AO186</f>
        <v>0</v>
      </c>
      <c r="AX186" s="40">
        <f>H186*AP186</f>
        <v>0</v>
      </c>
      <c r="AY186" s="43" t="s">
        <v>557</v>
      </c>
      <c r="AZ186" s="43" t="s">
        <v>567</v>
      </c>
      <c r="BA186" s="37" t="s">
        <v>568</v>
      </c>
      <c r="BC186" s="40">
        <f>AW186+AX186</f>
        <v>0</v>
      </c>
      <c r="BD186" s="40">
        <f>I186/(100-BE186)*100</f>
        <v>0</v>
      </c>
      <c r="BE186" s="40">
        <v>0</v>
      </c>
      <c r="BF186" s="40">
        <f>N186</f>
        <v>93</v>
      </c>
      <c r="BH186" s="26">
        <f>H186*AO186</f>
        <v>0</v>
      </c>
      <c r="BI186" s="26">
        <f>H186*AP186</f>
        <v>0</v>
      </c>
      <c r="BJ186" s="26">
        <f>H186*I186</f>
        <v>0</v>
      </c>
      <c r="BK186" s="26" t="s">
        <v>573</v>
      </c>
      <c r="BL186" s="40" t="s">
        <v>301</v>
      </c>
    </row>
    <row r="187" spans="1:64" x14ac:dyDescent="0.25">
      <c r="A187" s="4" t="s">
        <v>146</v>
      </c>
      <c r="B187" s="14" t="s">
        <v>304</v>
      </c>
      <c r="C187" s="135" t="s">
        <v>480</v>
      </c>
      <c r="D187" s="136"/>
      <c r="E187" s="136"/>
      <c r="F187" s="136"/>
      <c r="G187" s="14" t="s">
        <v>506</v>
      </c>
      <c r="H187" s="26">
        <v>1.5</v>
      </c>
      <c r="I187" s="26">
        <v>0</v>
      </c>
      <c r="J187" s="26">
        <f>H187*AO187</f>
        <v>0</v>
      </c>
      <c r="K187" s="26">
        <f>H187*AP187</f>
        <v>0</v>
      </c>
      <c r="L187" s="26">
        <f>H187*I187</f>
        <v>0</v>
      </c>
      <c r="M187" s="26">
        <v>0</v>
      </c>
      <c r="N187" s="49">
        <f>H187*187</f>
        <v>280.5</v>
      </c>
      <c r="O187" s="6"/>
      <c r="Z187" s="40">
        <f>IF(AQ187="5",BJ187,0)</f>
        <v>0</v>
      </c>
      <c r="AB187" s="40">
        <f>IF(AQ187="1",BH187,0)</f>
        <v>0</v>
      </c>
      <c r="AC187" s="40">
        <f>IF(AQ187="1",BI187,0)</f>
        <v>0</v>
      </c>
      <c r="AD187" s="40">
        <f>IF(AQ187="7",BH187,0)</f>
        <v>0</v>
      </c>
      <c r="AE187" s="40">
        <f>IF(AQ187="7",BI187,0)</f>
        <v>0</v>
      </c>
      <c r="AF187" s="40">
        <f>IF(AQ187="2",BH187,0)</f>
        <v>0</v>
      </c>
      <c r="AG187" s="40">
        <f>IF(AQ187="2",BI187,0)</f>
        <v>0</v>
      </c>
      <c r="AH187" s="40">
        <f>IF(AQ187="0",BJ187,0)</f>
        <v>0</v>
      </c>
      <c r="AI187" s="37"/>
      <c r="AJ187" s="26">
        <f>IF(AN187=0,L187,0)</f>
        <v>0</v>
      </c>
      <c r="AK187" s="26">
        <f>IF(AN187=15,L187,0)</f>
        <v>0</v>
      </c>
      <c r="AL187" s="26">
        <f>IF(AN187=21,L187,0)</f>
        <v>0</v>
      </c>
      <c r="AN187" s="40">
        <v>21</v>
      </c>
      <c r="AO187" s="40">
        <f>I187*0</f>
        <v>0</v>
      </c>
      <c r="AP187" s="40">
        <f>I187*(1-0)</f>
        <v>0</v>
      </c>
      <c r="AQ187" s="41" t="s">
        <v>11</v>
      </c>
      <c r="AV187" s="40">
        <f>AW187+AX187</f>
        <v>0</v>
      </c>
      <c r="AW187" s="40">
        <f>H187*AO187</f>
        <v>0</v>
      </c>
      <c r="AX187" s="40">
        <f>H187*AP187</f>
        <v>0</v>
      </c>
      <c r="AY187" s="43" t="s">
        <v>557</v>
      </c>
      <c r="AZ187" s="43" t="s">
        <v>567</v>
      </c>
      <c r="BA187" s="37" t="s">
        <v>568</v>
      </c>
      <c r="BC187" s="40">
        <f>AW187+AX187</f>
        <v>0</v>
      </c>
      <c r="BD187" s="40">
        <f>I187/(100-BE187)*100</f>
        <v>0</v>
      </c>
      <c r="BE187" s="40">
        <v>0</v>
      </c>
      <c r="BF187" s="40">
        <f>N187</f>
        <v>280.5</v>
      </c>
      <c r="BH187" s="26">
        <f>H187*AO187</f>
        <v>0</v>
      </c>
      <c r="BI187" s="26">
        <f>H187*AP187</f>
        <v>0</v>
      </c>
      <c r="BJ187" s="26">
        <f>H187*I187</f>
        <v>0</v>
      </c>
      <c r="BK187" s="26" t="s">
        <v>573</v>
      </c>
      <c r="BL187" s="40" t="s">
        <v>301</v>
      </c>
    </row>
    <row r="188" spans="1:64" x14ac:dyDescent="0.25">
      <c r="A188" s="8"/>
      <c r="B188" s="17"/>
      <c r="C188" s="19" t="s">
        <v>481</v>
      </c>
      <c r="D188" s="17"/>
      <c r="E188" s="17"/>
      <c r="F188" s="22" t="s">
        <v>494</v>
      </c>
      <c r="G188" s="17"/>
      <c r="H188" s="29">
        <v>1.5</v>
      </c>
      <c r="I188" s="17"/>
      <c r="J188" s="17"/>
      <c r="K188" s="17"/>
      <c r="L188" s="17"/>
      <c r="M188" s="17"/>
      <c r="N188" s="39"/>
      <c r="O188" s="6"/>
    </row>
    <row r="189" spans="1:64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141" t="s">
        <v>514</v>
      </c>
      <c r="K189" s="142"/>
      <c r="L189" s="47">
        <f>ROUND(L12+L14+L16+L18+L21+L25+L28+L37+L50+L58+L67+L108+L112+L114+L119+L122+L125+L128+L130+L133+L136+L139+L142+L145+L148+L152+L157+L172+L178+L184,0)</f>
        <v>0</v>
      </c>
      <c r="M189" s="9"/>
      <c r="N189" s="9"/>
    </row>
    <row r="190" spans="1:64" ht="11.25" customHeight="1" x14ac:dyDescent="0.25">
      <c r="A190" s="10" t="s">
        <v>147</v>
      </c>
    </row>
    <row r="191" spans="1:64" x14ac:dyDescent="0.25">
      <c r="A191" s="118"/>
      <c r="B191" s="110"/>
      <c r="C191" s="110"/>
      <c r="D191" s="110"/>
      <c r="E191" s="110"/>
      <c r="F191" s="110"/>
      <c r="G191" s="110"/>
      <c r="H191" s="110"/>
      <c r="I191" s="110"/>
      <c r="J191" s="110"/>
      <c r="K191" s="110"/>
      <c r="L191" s="110"/>
      <c r="M191" s="110"/>
      <c r="N191" s="110"/>
    </row>
  </sheetData>
  <mergeCells count="201">
    <mergeCell ref="J189:K189"/>
    <mergeCell ref="A191:N191"/>
    <mergeCell ref="C182:F182"/>
    <mergeCell ref="C183:F183"/>
    <mergeCell ref="C184:F184"/>
    <mergeCell ref="C185:F185"/>
    <mergeCell ref="C186:F186"/>
    <mergeCell ref="C187:F187"/>
    <mergeCell ref="C176:F176"/>
    <mergeCell ref="C177:F177"/>
    <mergeCell ref="C178:F178"/>
    <mergeCell ref="C179:F179"/>
    <mergeCell ref="C180:F180"/>
    <mergeCell ref="C181:F181"/>
    <mergeCell ref="C170:F170"/>
    <mergeCell ref="C171:F171"/>
    <mergeCell ref="C172:F172"/>
    <mergeCell ref="C173:F173"/>
    <mergeCell ref="C174:F174"/>
    <mergeCell ref="C175:F175"/>
    <mergeCell ref="C164:F164"/>
    <mergeCell ref="C165:F165"/>
    <mergeCell ref="C166:F166"/>
    <mergeCell ref="C167:F167"/>
    <mergeCell ref="C168:F168"/>
    <mergeCell ref="C169:F169"/>
    <mergeCell ref="C158:F158"/>
    <mergeCell ref="C159:F159"/>
    <mergeCell ref="C160:F160"/>
    <mergeCell ref="C161:F161"/>
    <mergeCell ref="C162:F162"/>
    <mergeCell ref="C163:F163"/>
    <mergeCell ref="C152:F152"/>
    <mergeCell ref="C153:F153"/>
    <mergeCell ref="C154:F154"/>
    <mergeCell ref="C155:F155"/>
    <mergeCell ref="C156:F156"/>
    <mergeCell ref="C157:F157"/>
    <mergeCell ref="C146:F146"/>
    <mergeCell ref="C147:F147"/>
    <mergeCell ref="C148:F148"/>
    <mergeCell ref="C149:F149"/>
    <mergeCell ref="C150:F150"/>
    <mergeCell ref="C151:F151"/>
    <mergeCell ref="C140:F140"/>
    <mergeCell ref="C141:F141"/>
    <mergeCell ref="C142:F142"/>
    <mergeCell ref="C143:F143"/>
    <mergeCell ref="C144:F144"/>
    <mergeCell ref="C145:F145"/>
    <mergeCell ref="C134:F134"/>
    <mergeCell ref="C135:F135"/>
    <mergeCell ref="C136:F136"/>
    <mergeCell ref="C137:F137"/>
    <mergeCell ref="C138:F138"/>
    <mergeCell ref="C139:F139"/>
    <mergeCell ref="C128:F128"/>
    <mergeCell ref="C129:F129"/>
    <mergeCell ref="C130:F130"/>
    <mergeCell ref="C131:F131"/>
    <mergeCell ref="C132:F132"/>
    <mergeCell ref="C133:F133"/>
    <mergeCell ref="C121:F121"/>
    <mergeCell ref="C122:F122"/>
    <mergeCell ref="C123:F123"/>
    <mergeCell ref="C125:F125"/>
    <mergeCell ref="C126:F126"/>
    <mergeCell ref="C127:F127"/>
    <mergeCell ref="C114:F114"/>
    <mergeCell ref="C115:F115"/>
    <mergeCell ref="C116:F116"/>
    <mergeCell ref="C118:F118"/>
    <mergeCell ref="C119:F119"/>
    <mergeCell ref="C120:F120"/>
    <mergeCell ref="C108:F108"/>
    <mergeCell ref="C109:F109"/>
    <mergeCell ref="C110:F110"/>
    <mergeCell ref="C111:F111"/>
    <mergeCell ref="C112:F112"/>
    <mergeCell ref="C113:F113"/>
    <mergeCell ref="C102:F102"/>
    <mergeCell ref="C103:F103"/>
    <mergeCell ref="C104:F104"/>
    <mergeCell ref="C105:F105"/>
    <mergeCell ref="C106:F106"/>
    <mergeCell ref="C107:F107"/>
    <mergeCell ref="C96:F96"/>
    <mergeCell ref="C97:F97"/>
    <mergeCell ref="C98:F98"/>
    <mergeCell ref="C99:F99"/>
    <mergeCell ref="C100:F100"/>
    <mergeCell ref="C101:F101"/>
    <mergeCell ref="C90:F90"/>
    <mergeCell ref="C91:F91"/>
    <mergeCell ref="C92:F92"/>
    <mergeCell ref="C93:F93"/>
    <mergeCell ref="C94:F94"/>
    <mergeCell ref="C95:F95"/>
    <mergeCell ref="C84:F84"/>
    <mergeCell ref="C85:F85"/>
    <mergeCell ref="C86:F86"/>
    <mergeCell ref="C87:F87"/>
    <mergeCell ref="C88:F88"/>
    <mergeCell ref="C89:F89"/>
    <mergeCell ref="C78:F78"/>
    <mergeCell ref="C79:F79"/>
    <mergeCell ref="C80:F80"/>
    <mergeCell ref="C81:F81"/>
    <mergeCell ref="C82:F82"/>
    <mergeCell ref="C83:F83"/>
    <mergeCell ref="C72:F72"/>
    <mergeCell ref="C73:F73"/>
    <mergeCell ref="C74:F74"/>
    <mergeCell ref="C75:F75"/>
    <mergeCell ref="C76:F76"/>
    <mergeCell ref="C77:F77"/>
    <mergeCell ref="C66:F66"/>
    <mergeCell ref="C67:F67"/>
    <mergeCell ref="C68:F68"/>
    <mergeCell ref="C69:F69"/>
    <mergeCell ref="C70:F70"/>
    <mergeCell ref="C71:F71"/>
    <mergeCell ref="C60:F60"/>
    <mergeCell ref="C61:F61"/>
    <mergeCell ref="C62:F62"/>
    <mergeCell ref="C63:F63"/>
    <mergeCell ref="C64:F64"/>
    <mergeCell ref="C65:F65"/>
    <mergeCell ref="C53:F53"/>
    <mergeCell ref="C54:F54"/>
    <mergeCell ref="C55:F55"/>
    <mergeCell ref="C57:F57"/>
    <mergeCell ref="C58:F58"/>
    <mergeCell ref="C59:F59"/>
    <mergeCell ref="C47:F47"/>
    <mergeCell ref="C48:F48"/>
    <mergeCell ref="C49:F49"/>
    <mergeCell ref="C50:F50"/>
    <mergeCell ref="C51:F51"/>
    <mergeCell ref="C52:F52"/>
    <mergeCell ref="C39:F39"/>
    <mergeCell ref="C40:F40"/>
    <mergeCell ref="C41:F41"/>
    <mergeCell ref="C43:F43"/>
    <mergeCell ref="C45:F45"/>
    <mergeCell ref="C46:F46"/>
    <mergeCell ref="C33:F33"/>
    <mergeCell ref="C34:F34"/>
    <mergeCell ref="C35:F35"/>
    <mergeCell ref="C36:F36"/>
    <mergeCell ref="C37:F37"/>
    <mergeCell ref="C38:F38"/>
    <mergeCell ref="C27:F27"/>
    <mergeCell ref="C28:F28"/>
    <mergeCell ref="C29:F29"/>
    <mergeCell ref="C30:F30"/>
    <mergeCell ref="C31:F31"/>
    <mergeCell ref="C32:F32"/>
    <mergeCell ref="C21:F21"/>
    <mergeCell ref="C22:F22"/>
    <mergeCell ref="C23:F23"/>
    <mergeCell ref="C24:F24"/>
    <mergeCell ref="C25:F25"/>
    <mergeCell ref="C26:F26"/>
    <mergeCell ref="C14:F14"/>
    <mergeCell ref="C15:F15"/>
    <mergeCell ref="C16:F16"/>
    <mergeCell ref="C17:F17"/>
    <mergeCell ref="C18:F18"/>
    <mergeCell ref="C19:F19"/>
    <mergeCell ref="C10:F10"/>
    <mergeCell ref="J10:L10"/>
    <mergeCell ref="M10:N10"/>
    <mergeCell ref="C11:F11"/>
    <mergeCell ref="C12:F12"/>
    <mergeCell ref="C13:F13"/>
    <mergeCell ref="A8:B9"/>
    <mergeCell ref="C8:C9"/>
    <mergeCell ref="D8:D9"/>
    <mergeCell ref="E8:E9"/>
    <mergeCell ref="F8:F9"/>
    <mergeCell ref="G8:N9"/>
    <mergeCell ref="A6:B7"/>
    <mergeCell ref="C6:C7"/>
    <mergeCell ref="D6:D7"/>
    <mergeCell ref="E6:E7"/>
    <mergeCell ref="F6:F7"/>
    <mergeCell ref="G6:N7"/>
    <mergeCell ref="A4:B5"/>
    <mergeCell ref="C4:C5"/>
    <mergeCell ref="D4:D5"/>
    <mergeCell ref="E4:E5"/>
    <mergeCell ref="F4:F5"/>
    <mergeCell ref="G4:N5"/>
    <mergeCell ref="A1:N1"/>
    <mergeCell ref="A2:B3"/>
    <mergeCell ref="C2:C3"/>
    <mergeCell ref="D2:D3"/>
    <mergeCell ref="E2:E3"/>
    <mergeCell ref="F2:F3"/>
    <mergeCell ref="G2:N3"/>
  </mergeCells>
  <pageMargins left="0.39400000000000002" right="0.39400000000000002" top="0.59099999999999997" bottom="0.59099999999999997" header="0.5" footer="0.5"/>
  <pageSetup paperSize="0" fitToHeight="0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workbookViewId="0">
      <pane ySplit="10" topLeftCell="A11" activePane="bottomLeft" state="frozenSplit"/>
      <selection pane="bottomLeft" sqref="A1:G1"/>
    </sheetView>
  </sheetViews>
  <sheetFormatPr defaultColWidth="11.5546875" defaultRowHeight="13.2" x14ac:dyDescent="0.25"/>
  <cols>
    <col min="1" max="2" width="3.5546875" customWidth="1"/>
    <col min="3" max="3" width="57.21875" customWidth="1"/>
    <col min="4" max="4" width="22.109375" customWidth="1"/>
    <col min="5" max="5" width="21" customWidth="1"/>
    <col min="6" max="6" width="20.88671875" customWidth="1"/>
    <col min="7" max="7" width="37.21875" customWidth="1"/>
    <col min="8" max="9" width="0" hidden="1" customWidth="1"/>
  </cols>
  <sheetData>
    <row r="1" spans="1:9" ht="73.05" customHeight="1" x14ac:dyDescent="0.4">
      <c r="A1" s="105" t="s">
        <v>576</v>
      </c>
      <c r="B1" s="106"/>
      <c r="C1" s="106"/>
      <c r="D1" s="106"/>
      <c r="E1" s="106"/>
      <c r="F1" s="106"/>
      <c r="G1" s="106"/>
    </row>
    <row r="2" spans="1:9" x14ac:dyDescent="0.25">
      <c r="A2" s="107" t="s">
        <v>1</v>
      </c>
      <c r="B2" s="108"/>
      <c r="C2" s="111" t="str">
        <f>'Stavební rozpočet'!C2</f>
        <v>Výměna zdroje tepla v budově Obecního úřadu Doubrava č.p. 599</v>
      </c>
      <c r="D2" s="113" t="s">
        <v>482</v>
      </c>
      <c r="E2" s="113" t="s">
        <v>486</v>
      </c>
      <c r="F2" s="114" t="s">
        <v>489</v>
      </c>
      <c r="G2" s="143" t="str">
        <f>'Stavební rozpočet'!G2</f>
        <v>Obec Doubrava, Doubrava 599, 735 33 Doubrava</v>
      </c>
      <c r="H2" s="6"/>
    </row>
    <row r="3" spans="1:9" x14ac:dyDescent="0.25">
      <c r="A3" s="109"/>
      <c r="B3" s="110"/>
      <c r="C3" s="112"/>
      <c r="D3" s="110"/>
      <c r="E3" s="110"/>
      <c r="F3" s="110"/>
      <c r="G3" s="116"/>
      <c r="H3" s="6"/>
    </row>
    <row r="4" spans="1:9" x14ac:dyDescent="0.25">
      <c r="A4" s="117" t="s">
        <v>2</v>
      </c>
      <c r="B4" s="110"/>
      <c r="C4" s="118" t="str">
        <f>'Stavební rozpočet'!C4</f>
        <v>účelová-ostatní</v>
      </c>
      <c r="D4" s="119" t="s">
        <v>483</v>
      </c>
      <c r="E4" s="119" t="s">
        <v>6</v>
      </c>
      <c r="F4" s="118" t="s">
        <v>490</v>
      </c>
      <c r="G4" s="144" t="str">
        <f>'Stavební rozpočet'!G4</f>
        <v>Ing. Stanislav Wilczek</v>
      </c>
      <c r="H4" s="6"/>
    </row>
    <row r="5" spans="1:9" x14ac:dyDescent="0.25">
      <c r="A5" s="109"/>
      <c r="B5" s="110"/>
      <c r="C5" s="110"/>
      <c r="D5" s="110"/>
      <c r="E5" s="110"/>
      <c r="F5" s="110"/>
      <c r="G5" s="116"/>
      <c r="H5" s="6"/>
    </row>
    <row r="6" spans="1:9" x14ac:dyDescent="0.25">
      <c r="A6" s="117" t="s">
        <v>3</v>
      </c>
      <c r="B6" s="110"/>
      <c r="C6" s="118" t="str">
        <f>'Stavební rozpočet'!C6</f>
        <v>Budova OÚ, Doubrava 599,  735 33 Doubrava</v>
      </c>
      <c r="D6" s="119" t="s">
        <v>484</v>
      </c>
      <c r="E6" s="119" t="s">
        <v>487</v>
      </c>
      <c r="F6" s="118" t="s">
        <v>491</v>
      </c>
      <c r="G6" s="144" t="str">
        <f>'Stavební rozpočet'!G6</f>
        <v> </v>
      </c>
      <c r="H6" s="6"/>
    </row>
    <row r="7" spans="1:9" x14ac:dyDescent="0.25">
      <c r="A7" s="109"/>
      <c r="B7" s="110"/>
      <c r="C7" s="110"/>
      <c r="D7" s="110"/>
      <c r="E7" s="110"/>
      <c r="F7" s="110"/>
      <c r="G7" s="116"/>
      <c r="H7" s="6"/>
    </row>
    <row r="8" spans="1:9" x14ac:dyDescent="0.25">
      <c r="A8" s="117" t="s">
        <v>492</v>
      </c>
      <c r="B8" s="110"/>
      <c r="C8" s="118" t="str">
        <f>'Stavební rozpočet'!G8</f>
        <v>Ing. Stanislav Wilczek</v>
      </c>
      <c r="D8" s="119" t="s">
        <v>485</v>
      </c>
      <c r="E8" s="119" t="s">
        <v>488</v>
      </c>
      <c r="F8" s="119" t="s">
        <v>485</v>
      </c>
      <c r="G8" s="144" t="str">
        <f>'Stavební rozpočet'!E8</f>
        <v>15.10.2021</v>
      </c>
      <c r="H8" s="6"/>
    </row>
    <row r="9" spans="1:9" x14ac:dyDescent="0.25">
      <c r="A9" s="120"/>
      <c r="B9" s="121"/>
      <c r="C9" s="121"/>
      <c r="D9" s="121"/>
      <c r="E9" s="121"/>
      <c r="F9" s="121"/>
      <c r="G9" s="122"/>
      <c r="H9" s="6"/>
    </row>
    <row r="10" spans="1:9" x14ac:dyDescent="0.25">
      <c r="A10" s="145" t="s">
        <v>148</v>
      </c>
      <c r="B10" s="146"/>
      <c r="C10" s="52" t="s">
        <v>308</v>
      </c>
      <c r="D10" s="55" t="s">
        <v>577</v>
      </c>
      <c r="E10" s="55" t="s">
        <v>578</v>
      </c>
      <c r="F10" s="55" t="s">
        <v>579</v>
      </c>
      <c r="G10" s="56" t="s">
        <v>580</v>
      </c>
      <c r="H10" s="57"/>
    </row>
    <row r="11" spans="1:9" x14ac:dyDescent="0.25">
      <c r="A11" s="147" t="s">
        <v>149</v>
      </c>
      <c r="B11" s="148"/>
      <c r="C11" s="53" t="s">
        <v>310</v>
      </c>
      <c r="D11" s="59">
        <f>'Stavební rozpočet'!J12</f>
        <v>0</v>
      </c>
      <c r="E11" s="59">
        <f>'Stavební rozpočet'!K12</f>
        <v>0</v>
      </c>
      <c r="F11" s="59">
        <f>'Stavební rozpočet'!L12</f>
        <v>0</v>
      </c>
      <c r="G11" s="61">
        <f>'Stavební rozpočet'!N12</f>
        <v>156</v>
      </c>
      <c r="H11" s="58" t="s">
        <v>581</v>
      </c>
      <c r="I11" s="40">
        <f t="shared" ref="I11:I40" si="0">IF(G11="F",0,F11)</f>
        <v>0</v>
      </c>
    </row>
    <row r="12" spans="1:9" x14ac:dyDescent="0.25">
      <c r="A12" s="149" t="s">
        <v>37</v>
      </c>
      <c r="B12" s="110"/>
      <c r="C12" s="20" t="s">
        <v>312</v>
      </c>
      <c r="D12" s="40">
        <f>'Stavební rozpočet'!J14</f>
        <v>0</v>
      </c>
      <c r="E12" s="40">
        <f>'Stavební rozpočet'!K14</f>
        <v>0</v>
      </c>
      <c r="F12" s="40">
        <f>'Stavební rozpočet'!L14</f>
        <v>0</v>
      </c>
      <c r="G12" s="62">
        <f>'Stavební rozpočet'!N14</f>
        <v>15</v>
      </c>
      <c r="H12" s="58" t="s">
        <v>581</v>
      </c>
      <c r="I12" s="40">
        <f t="shared" si="0"/>
        <v>0</v>
      </c>
    </row>
    <row r="13" spans="1:9" x14ac:dyDescent="0.25">
      <c r="A13" s="149" t="s">
        <v>67</v>
      </c>
      <c r="B13" s="110"/>
      <c r="C13" s="20" t="s">
        <v>314</v>
      </c>
      <c r="D13" s="40">
        <f>'Stavební rozpočet'!J16</f>
        <v>0</v>
      </c>
      <c r="E13" s="40">
        <f>'Stavební rozpočet'!K16</f>
        <v>0</v>
      </c>
      <c r="F13" s="40">
        <f>'Stavební rozpočet'!L16</f>
        <v>0</v>
      </c>
      <c r="G13" s="62">
        <f>'Stavební rozpočet'!N16</f>
        <v>17</v>
      </c>
      <c r="H13" s="58" t="s">
        <v>581</v>
      </c>
      <c r="I13" s="40">
        <f t="shared" si="0"/>
        <v>0</v>
      </c>
    </row>
    <row r="14" spans="1:9" x14ac:dyDescent="0.25">
      <c r="A14" s="149" t="s">
        <v>69</v>
      </c>
      <c r="B14" s="110"/>
      <c r="C14" s="20" t="s">
        <v>316</v>
      </c>
      <c r="D14" s="40">
        <f>'Stavební rozpočet'!J18</f>
        <v>0</v>
      </c>
      <c r="E14" s="40">
        <f>'Stavební rozpočet'!K18</f>
        <v>0</v>
      </c>
      <c r="F14" s="40">
        <f>'Stavební rozpočet'!L18</f>
        <v>0</v>
      </c>
      <c r="G14" s="62">
        <f>'Stavební rozpočet'!N18</f>
        <v>69.16</v>
      </c>
      <c r="H14" s="58" t="s">
        <v>581</v>
      </c>
      <c r="I14" s="40">
        <f t="shared" si="0"/>
        <v>0</v>
      </c>
    </row>
    <row r="15" spans="1:9" x14ac:dyDescent="0.25">
      <c r="A15" s="149" t="s">
        <v>154</v>
      </c>
      <c r="B15" s="110"/>
      <c r="C15" s="20" t="s">
        <v>319</v>
      </c>
      <c r="D15" s="40">
        <f>'Stavební rozpočet'!J21</f>
        <v>0</v>
      </c>
      <c r="E15" s="40">
        <f>'Stavební rozpočet'!K21</f>
        <v>0</v>
      </c>
      <c r="F15" s="40">
        <f>'Stavební rozpočet'!L21</f>
        <v>0</v>
      </c>
      <c r="G15" s="62">
        <f>'Stavební rozpočet'!N21</f>
        <v>1586</v>
      </c>
      <c r="H15" s="58" t="s">
        <v>581</v>
      </c>
      <c r="I15" s="40">
        <f t="shared" si="0"/>
        <v>0</v>
      </c>
    </row>
    <row r="16" spans="1:9" x14ac:dyDescent="0.25">
      <c r="A16" s="149" t="s">
        <v>158</v>
      </c>
      <c r="B16" s="110"/>
      <c r="C16" s="20" t="s">
        <v>323</v>
      </c>
      <c r="D16" s="40">
        <f>'Stavební rozpočet'!J25</f>
        <v>0</v>
      </c>
      <c r="E16" s="40">
        <f>'Stavební rozpočet'!K25</f>
        <v>0</v>
      </c>
      <c r="F16" s="40">
        <f>'Stavební rozpočet'!L25</f>
        <v>0</v>
      </c>
      <c r="G16" s="62">
        <f>'Stavební rozpočet'!N25</f>
        <v>53</v>
      </c>
      <c r="H16" s="58" t="s">
        <v>581</v>
      </c>
      <c r="I16" s="40">
        <f t="shared" si="0"/>
        <v>0</v>
      </c>
    </row>
    <row r="17" spans="1:9" x14ac:dyDescent="0.25">
      <c r="A17" s="149" t="s">
        <v>161</v>
      </c>
      <c r="B17" s="110"/>
      <c r="C17" s="20" t="s">
        <v>326</v>
      </c>
      <c r="D17" s="40">
        <f>'Stavební rozpočet'!J28</f>
        <v>0</v>
      </c>
      <c r="E17" s="40">
        <f>'Stavební rozpočet'!K28</f>
        <v>0</v>
      </c>
      <c r="F17" s="40">
        <f>'Stavební rozpočet'!L28</f>
        <v>0</v>
      </c>
      <c r="G17" s="62">
        <f>'Stavební rozpočet'!N28</f>
        <v>608</v>
      </c>
      <c r="H17" s="58" t="s">
        <v>581</v>
      </c>
      <c r="I17" s="40">
        <f t="shared" si="0"/>
        <v>0</v>
      </c>
    </row>
    <row r="18" spans="1:9" x14ac:dyDescent="0.25">
      <c r="A18" s="149" t="s">
        <v>170</v>
      </c>
      <c r="B18" s="110"/>
      <c r="C18" s="20" t="s">
        <v>335</v>
      </c>
      <c r="D18" s="40">
        <f>'Stavební rozpočet'!J37</f>
        <v>0</v>
      </c>
      <c r="E18" s="40">
        <f>'Stavební rozpočet'!K37</f>
        <v>0</v>
      </c>
      <c r="F18" s="40">
        <f>'Stavební rozpočet'!L37</f>
        <v>0</v>
      </c>
      <c r="G18" s="62">
        <f>'Stavební rozpočet'!N37</f>
        <v>609</v>
      </c>
      <c r="H18" s="58" t="s">
        <v>581</v>
      </c>
      <c r="I18" s="40">
        <f t="shared" si="0"/>
        <v>0</v>
      </c>
    </row>
    <row r="19" spans="1:9" x14ac:dyDescent="0.25">
      <c r="A19" s="149" t="s">
        <v>180</v>
      </c>
      <c r="B19" s="110"/>
      <c r="C19" s="20" t="s">
        <v>348</v>
      </c>
      <c r="D19" s="40">
        <f>'Stavební rozpočet'!J50</f>
        <v>0</v>
      </c>
      <c r="E19" s="40">
        <f>'Stavební rozpočet'!K50</f>
        <v>0</v>
      </c>
      <c r="F19" s="40">
        <f>'Stavební rozpočet'!L50</f>
        <v>0</v>
      </c>
      <c r="G19" s="62">
        <f>'Stavební rozpočet'!N50</f>
        <v>988</v>
      </c>
      <c r="H19" s="58" t="s">
        <v>581</v>
      </c>
      <c r="I19" s="40">
        <f t="shared" si="0"/>
        <v>0</v>
      </c>
    </row>
    <row r="20" spans="1:9" x14ac:dyDescent="0.25">
      <c r="A20" s="149" t="s">
        <v>187</v>
      </c>
      <c r="B20" s="110"/>
      <c r="C20" s="20" t="s">
        <v>356</v>
      </c>
      <c r="D20" s="40">
        <f>'Stavební rozpočet'!J58</f>
        <v>0</v>
      </c>
      <c r="E20" s="40">
        <f>'Stavební rozpočet'!K58</f>
        <v>0</v>
      </c>
      <c r="F20" s="40">
        <f>'Stavební rozpočet'!L58</f>
        <v>0</v>
      </c>
      <c r="G20" s="62">
        <f>'Stavební rozpočet'!N58</f>
        <v>5307</v>
      </c>
      <c r="H20" s="58" t="s">
        <v>581</v>
      </c>
      <c r="I20" s="40">
        <f t="shared" si="0"/>
        <v>0</v>
      </c>
    </row>
    <row r="21" spans="1:9" x14ac:dyDescent="0.25">
      <c r="A21" s="149" t="s">
        <v>196</v>
      </c>
      <c r="B21" s="110"/>
      <c r="C21" s="20" t="s">
        <v>365</v>
      </c>
      <c r="D21" s="40">
        <f>'Stavební rozpočet'!J67</f>
        <v>0</v>
      </c>
      <c r="E21" s="40">
        <f>'Stavební rozpočet'!K67</f>
        <v>0</v>
      </c>
      <c r="F21" s="40">
        <f>'Stavební rozpočet'!L67</f>
        <v>0</v>
      </c>
      <c r="G21" s="62">
        <f>'Stavební rozpočet'!N67</f>
        <v>16674</v>
      </c>
      <c r="H21" s="58" t="s">
        <v>581</v>
      </c>
      <c r="I21" s="40">
        <f t="shared" si="0"/>
        <v>0</v>
      </c>
    </row>
    <row r="22" spans="1:9" x14ac:dyDescent="0.25">
      <c r="A22" s="149" t="s">
        <v>232</v>
      </c>
      <c r="B22" s="110"/>
      <c r="C22" s="20" t="s">
        <v>406</v>
      </c>
      <c r="D22" s="40">
        <f>'Stavební rozpočet'!J108</f>
        <v>0</v>
      </c>
      <c r="E22" s="40">
        <f>'Stavební rozpočet'!K108</f>
        <v>0</v>
      </c>
      <c r="F22" s="40">
        <f>'Stavební rozpočet'!L108</f>
        <v>0</v>
      </c>
      <c r="G22" s="62">
        <f>'Stavební rozpočet'!N108</f>
        <v>330</v>
      </c>
      <c r="H22" s="58" t="s">
        <v>581</v>
      </c>
      <c r="I22" s="40">
        <f t="shared" si="0"/>
        <v>0</v>
      </c>
    </row>
    <row r="23" spans="1:9" x14ac:dyDescent="0.25">
      <c r="A23" s="149" t="s">
        <v>236</v>
      </c>
      <c r="B23" s="110"/>
      <c r="C23" s="20" t="s">
        <v>410</v>
      </c>
      <c r="D23" s="40">
        <f>'Stavební rozpočet'!J112</f>
        <v>0</v>
      </c>
      <c r="E23" s="40">
        <f>'Stavební rozpočet'!K112</f>
        <v>0</v>
      </c>
      <c r="F23" s="40">
        <f>'Stavební rozpočet'!L112</f>
        <v>0</v>
      </c>
      <c r="G23" s="62">
        <f>'Stavební rozpočet'!N112</f>
        <v>7910</v>
      </c>
      <c r="H23" s="58" t="s">
        <v>581</v>
      </c>
      <c r="I23" s="40">
        <f t="shared" si="0"/>
        <v>0</v>
      </c>
    </row>
    <row r="24" spans="1:9" x14ac:dyDescent="0.25">
      <c r="A24" s="149" t="s">
        <v>238</v>
      </c>
      <c r="B24" s="110"/>
      <c r="C24" s="20" t="s">
        <v>412</v>
      </c>
      <c r="D24" s="40">
        <f>'Stavební rozpočet'!J114</f>
        <v>0</v>
      </c>
      <c r="E24" s="40">
        <f>'Stavební rozpočet'!K114</f>
        <v>0</v>
      </c>
      <c r="F24" s="40">
        <f>'Stavební rozpočet'!L114</f>
        <v>0</v>
      </c>
      <c r="G24" s="62">
        <f>'Stavební rozpočet'!N114</f>
        <v>19210.54</v>
      </c>
      <c r="H24" s="58" t="s">
        <v>581</v>
      </c>
      <c r="I24" s="40">
        <f t="shared" si="0"/>
        <v>0</v>
      </c>
    </row>
    <row r="25" spans="1:9" x14ac:dyDescent="0.25">
      <c r="A25" s="149" t="s">
        <v>242</v>
      </c>
      <c r="B25" s="110"/>
      <c r="C25" s="20" t="s">
        <v>417</v>
      </c>
      <c r="D25" s="40">
        <f>'Stavební rozpočet'!J119</f>
        <v>0</v>
      </c>
      <c r="E25" s="40">
        <f>'Stavební rozpočet'!K119</f>
        <v>0</v>
      </c>
      <c r="F25" s="40">
        <f>'Stavební rozpočet'!L119</f>
        <v>0</v>
      </c>
      <c r="G25" s="62">
        <f>'Stavební rozpočet'!N119</f>
        <v>241</v>
      </c>
      <c r="H25" s="58" t="s">
        <v>581</v>
      </c>
      <c r="I25" s="40">
        <f t="shared" si="0"/>
        <v>0</v>
      </c>
    </row>
    <row r="26" spans="1:9" x14ac:dyDescent="0.25">
      <c r="A26" s="149" t="s">
        <v>102</v>
      </c>
      <c r="B26" s="110"/>
      <c r="C26" s="20" t="s">
        <v>420</v>
      </c>
      <c r="D26" s="40">
        <f>'Stavební rozpočet'!J122</f>
        <v>0</v>
      </c>
      <c r="E26" s="40">
        <f>'Stavební rozpočet'!K122</f>
        <v>0</v>
      </c>
      <c r="F26" s="40">
        <f>'Stavební rozpočet'!L122</f>
        <v>0</v>
      </c>
      <c r="G26" s="62">
        <f>'Stavební rozpočet'!N122</f>
        <v>22.14</v>
      </c>
      <c r="H26" s="58" t="s">
        <v>581</v>
      </c>
      <c r="I26" s="40">
        <f t="shared" si="0"/>
        <v>0</v>
      </c>
    </row>
    <row r="27" spans="1:9" x14ac:dyDescent="0.25">
      <c r="A27" s="149" t="s">
        <v>103</v>
      </c>
      <c r="B27" s="110"/>
      <c r="C27" s="20" t="s">
        <v>423</v>
      </c>
      <c r="D27" s="40">
        <f>'Stavební rozpočet'!J125</f>
        <v>0</v>
      </c>
      <c r="E27" s="40">
        <f>'Stavební rozpočet'!K125</f>
        <v>0</v>
      </c>
      <c r="F27" s="40">
        <f>'Stavební rozpočet'!L125</f>
        <v>0</v>
      </c>
      <c r="G27" s="62">
        <f>'Stavební rozpočet'!N125</f>
        <v>1142</v>
      </c>
      <c r="H27" s="58" t="s">
        <v>581</v>
      </c>
      <c r="I27" s="40">
        <f t="shared" si="0"/>
        <v>0</v>
      </c>
    </row>
    <row r="28" spans="1:9" x14ac:dyDescent="0.25">
      <c r="A28" s="149" t="s">
        <v>247</v>
      </c>
      <c r="B28" s="110"/>
      <c r="C28" s="20" t="s">
        <v>426</v>
      </c>
      <c r="D28" s="40">
        <f>'Stavební rozpočet'!J128</f>
        <v>0</v>
      </c>
      <c r="E28" s="40">
        <f>'Stavební rozpočet'!K128</f>
        <v>0</v>
      </c>
      <c r="F28" s="40">
        <f>'Stavební rozpočet'!L128</f>
        <v>0</v>
      </c>
      <c r="G28" s="62">
        <f>'Stavební rozpočet'!N128</f>
        <v>12.9</v>
      </c>
      <c r="H28" s="58" t="s">
        <v>581</v>
      </c>
      <c r="I28" s="40">
        <f t="shared" si="0"/>
        <v>0</v>
      </c>
    </row>
    <row r="29" spans="1:9" x14ac:dyDescent="0.25">
      <c r="A29" s="149" t="s">
        <v>249</v>
      </c>
      <c r="B29" s="110"/>
      <c r="C29" s="20" t="s">
        <v>319</v>
      </c>
      <c r="D29" s="40">
        <f>'Stavební rozpočet'!J130</f>
        <v>0</v>
      </c>
      <c r="E29" s="40">
        <f>'Stavební rozpočet'!K130</f>
        <v>0</v>
      </c>
      <c r="F29" s="40">
        <f>'Stavební rozpočet'!L130</f>
        <v>0</v>
      </c>
      <c r="G29" s="62">
        <f>'Stavební rozpočet'!N130</f>
        <v>2.63</v>
      </c>
      <c r="H29" s="58" t="s">
        <v>581</v>
      </c>
      <c r="I29" s="40">
        <f t="shared" si="0"/>
        <v>0</v>
      </c>
    </row>
    <row r="30" spans="1:9" x14ac:dyDescent="0.25">
      <c r="A30" s="149" t="s">
        <v>252</v>
      </c>
      <c r="B30" s="110"/>
      <c r="C30" s="20" t="s">
        <v>335</v>
      </c>
      <c r="D30" s="40">
        <f>'Stavební rozpočet'!J133</f>
        <v>0</v>
      </c>
      <c r="E30" s="40">
        <f>'Stavební rozpočet'!K133</f>
        <v>0</v>
      </c>
      <c r="F30" s="40">
        <f>'Stavební rozpočet'!L133</f>
        <v>0</v>
      </c>
      <c r="G30" s="62">
        <f>'Stavební rozpočet'!N133</f>
        <v>430.4</v>
      </c>
      <c r="H30" s="58" t="s">
        <v>581</v>
      </c>
      <c r="I30" s="40">
        <f t="shared" si="0"/>
        <v>0</v>
      </c>
    </row>
    <row r="31" spans="1:9" x14ac:dyDescent="0.25">
      <c r="A31" s="149" t="s">
        <v>255</v>
      </c>
      <c r="B31" s="110"/>
      <c r="C31" s="20" t="s">
        <v>348</v>
      </c>
      <c r="D31" s="40">
        <f>'Stavební rozpočet'!J136</f>
        <v>0</v>
      </c>
      <c r="E31" s="40">
        <f>'Stavební rozpočet'!K136</f>
        <v>0</v>
      </c>
      <c r="F31" s="40">
        <f>'Stavební rozpočet'!L136</f>
        <v>0</v>
      </c>
      <c r="G31" s="62">
        <f>'Stavební rozpočet'!N136</f>
        <v>220</v>
      </c>
      <c r="H31" s="58" t="s">
        <v>581</v>
      </c>
      <c r="I31" s="40">
        <f t="shared" si="0"/>
        <v>0</v>
      </c>
    </row>
    <row r="32" spans="1:9" x14ac:dyDescent="0.25">
      <c r="A32" s="149" t="s">
        <v>258</v>
      </c>
      <c r="B32" s="110"/>
      <c r="C32" s="20" t="s">
        <v>356</v>
      </c>
      <c r="D32" s="40">
        <f>'Stavební rozpočet'!J139</f>
        <v>0</v>
      </c>
      <c r="E32" s="40">
        <f>'Stavební rozpočet'!K139</f>
        <v>0</v>
      </c>
      <c r="F32" s="40">
        <f>'Stavební rozpočet'!L139</f>
        <v>0</v>
      </c>
      <c r="G32" s="62">
        <f>'Stavební rozpočet'!N139</f>
        <v>196.7</v>
      </c>
      <c r="H32" s="58" t="s">
        <v>581</v>
      </c>
      <c r="I32" s="40">
        <f t="shared" si="0"/>
        <v>0</v>
      </c>
    </row>
    <row r="33" spans="1:9" x14ac:dyDescent="0.25">
      <c r="A33" s="149" t="s">
        <v>261</v>
      </c>
      <c r="B33" s="110"/>
      <c r="C33" s="20" t="s">
        <v>365</v>
      </c>
      <c r="D33" s="40">
        <f>'Stavební rozpočet'!J142</f>
        <v>0</v>
      </c>
      <c r="E33" s="40">
        <f>'Stavební rozpočet'!K142</f>
        <v>0</v>
      </c>
      <c r="F33" s="40">
        <f>'Stavební rozpočet'!L142</f>
        <v>0</v>
      </c>
      <c r="G33" s="62">
        <f>'Stavební rozpočet'!N142</f>
        <v>28.700000000000003</v>
      </c>
      <c r="H33" s="58" t="s">
        <v>581</v>
      </c>
      <c r="I33" s="40">
        <f t="shared" si="0"/>
        <v>0</v>
      </c>
    </row>
    <row r="34" spans="1:9" x14ac:dyDescent="0.25">
      <c r="A34" s="149" t="s">
        <v>264</v>
      </c>
      <c r="B34" s="110"/>
      <c r="C34" s="20" t="s">
        <v>438</v>
      </c>
      <c r="D34" s="40">
        <f>'Stavební rozpočet'!J145</f>
        <v>0</v>
      </c>
      <c r="E34" s="40">
        <f>'Stavební rozpočet'!K145</f>
        <v>0</v>
      </c>
      <c r="F34" s="40">
        <f>'Stavební rozpočet'!L145</f>
        <v>0</v>
      </c>
      <c r="G34" s="62">
        <f>'Stavební rozpočet'!N145</f>
        <v>35.159999999999997</v>
      </c>
      <c r="H34" s="58" t="s">
        <v>581</v>
      </c>
      <c r="I34" s="40">
        <f t="shared" si="0"/>
        <v>0</v>
      </c>
    </row>
    <row r="35" spans="1:9" x14ac:dyDescent="0.25">
      <c r="A35" s="149" t="s">
        <v>267</v>
      </c>
      <c r="B35" s="110"/>
      <c r="C35" s="20" t="s">
        <v>441</v>
      </c>
      <c r="D35" s="40">
        <f>'Stavební rozpočet'!J148</f>
        <v>0</v>
      </c>
      <c r="E35" s="40">
        <f>'Stavební rozpočet'!K148</f>
        <v>0</v>
      </c>
      <c r="F35" s="40">
        <f>'Stavební rozpočet'!L148</f>
        <v>0</v>
      </c>
      <c r="G35" s="62">
        <f>'Stavební rozpočet'!N148</f>
        <v>2490.15</v>
      </c>
      <c r="H35" s="58" t="s">
        <v>581</v>
      </c>
      <c r="I35" s="40">
        <f t="shared" si="0"/>
        <v>0</v>
      </c>
    </row>
    <row r="36" spans="1:9" x14ac:dyDescent="0.25">
      <c r="A36" s="149" t="s">
        <v>271</v>
      </c>
      <c r="B36" s="110"/>
      <c r="C36" s="20" t="s">
        <v>445</v>
      </c>
      <c r="D36" s="40">
        <f>'Stavební rozpočet'!J152</f>
        <v>0</v>
      </c>
      <c r="E36" s="40">
        <f>'Stavební rozpočet'!K152</f>
        <v>0</v>
      </c>
      <c r="F36" s="40">
        <f>'Stavební rozpočet'!L152</f>
        <v>0</v>
      </c>
      <c r="G36" s="62">
        <f>'Stavební rozpočet'!N152</f>
        <v>771</v>
      </c>
      <c r="H36" s="58" t="s">
        <v>581</v>
      </c>
      <c r="I36" s="40">
        <f t="shared" si="0"/>
        <v>0</v>
      </c>
    </row>
    <row r="37" spans="1:9" x14ac:dyDescent="0.25">
      <c r="A37" s="149" t="s">
        <v>275</v>
      </c>
      <c r="B37" s="110"/>
      <c r="C37" s="20" t="s">
        <v>450</v>
      </c>
      <c r="D37" s="40">
        <f>'Stavební rozpočet'!J157</f>
        <v>0</v>
      </c>
      <c r="E37" s="40">
        <f>'Stavební rozpočet'!K157</f>
        <v>0</v>
      </c>
      <c r="F37" s="40">
        <f>'Stavební rozpočet'!L157</f>
        <v>0</v>
      </c>
      <c r="G37" s="62">
        <f>'Stavební rozpočet'!N157</f>
        <v>30759</v>
      </c>
      <c r="H37" s="58" t="s">
        <v>581</v>
      </c>
      <c r="I37" s="40">
        <f t="shared" si="0"/>
        <v>0</v>
      </c>
    </row>
    <row r="38" spans="1:9" x14ac:dyDescent="0.25">
      <c r="A38" s="149" t="s">
        <v>289</v>
      </c>
      <c r="B38" s="110"/>
      <c r="C38" s="20" t="s">
        <v>465</v>
      </c>
      <c r="D38" s="40">
        <f>'Stavební rozpočet'!J172</f>
        <v>0</v>
      </c>
      <c r="E38" s="40">
        <f>'Stavební rozpočet'!K172</f>
        <v>0</v>
      </c>
      <c r="F38" s="40">
        <f>'Stavební rozpočet'!L172</f>
        <v>0</v>
      </c>
      <c r="G38" s="62">
        <f>'Stavební rozpočet'!N172</f>
        <v>2440</v>
      </c>
      <c r="H38" s="58" t="s">
        <v>581</v>
      </c>
      <c r="I38" s="40">
        <f t="shared" si="0"/>
        <v>0</v>
      </c>
    </row>
    <row r="39" spans="1:9" x14ac:dyDescent="0.25">
      <c r="A39" s="149" t="s">
        <v>295</v>
      </c>
      <c r="B39" s="110"/>
      <c r="C39" s="20" t="s">
        <v>471</v>
      </c>
      <c r="D39" s="40">
        <f>'Stavební rozpočet'!J178</f>
        <v>0</v>
      </c>
      <c r="E39" s="40">
        <f>'Stavební rozpočet'!K178</f>
        <v>0</v>
      </c>
      <c r="F39" s="40">
        <f>'Stavební rozpočet'!L178</f>
        <v>0</v>
      </c>
      <c r="G39" s="62">
        <f>'Stavební rozpočet'!N178</f>
        <v>1085</v>
      </c>
      <c r="H39" s="58" t="s">
        <v>581</v>
      </c>
      <c r="I39" s="40">
        <f t="shared" si="0"/>
        <v>0</v>
      </c>
    </row>
    <row r="40" spans="1:9" x14ac:dyDescent="0.25">
      <c r="A40" s="150" t="s">
        <v>301</v>
      </c>
      <c r="B40" s="151"/>
      <c r="C40" s="54" t="s">
        <v>477</v>
      </c>
      <c r="D40" s="60">
        <f>'Stavební rozpočet'!J184</f>
        <v>0</v>
      </c>
      <c r="E40" s="60">
        <f>'Stavební rozpočet'!K184</f>
        <v>0</v>
      </c>
      <c r="F40" s="60">
        <f>'Stavební rozpočet'!L184</f>
        <v>0</v>
      </c>
      <c r="G40" s="63">
        <f>'Stavební rozpočet'!N184</f>
        <v>466</v>
      </c>
      <c r="H40" s="58" t="s">
        <v>581</v>
      </c>
      <c r="I40" s="40">
        <f t="shared" si="0"/>
        <v>0</v>
      </c>
    </row>
    <row r="41" spans="1:9" x14ac:dyDescent="0.25">
      <c r="A41" s="9"/>
      <c r="B41" s="9"/>
      <c r="C41" s="9"/>
      <c r="D41" s="9"/>
      <c r="E41" s="33" t="s">
        <v>514</v>
      </c>
      <c r="F41" s="47">
        <f>ROUND(SUM(H11:H40),0)</f>
        <v>0</v>
      </c>
      <c r="G41" s="9"/>
    </row>
  </sheetData>
  <mergeCells count="56">
    <mergeCell ref="A40:B40"/>
    <mergeCell ref="A34:B34"/>
    <mergeCell ref="A35:B35"/>
    <mergeCell ref="A36:B36"/>
    <mergeCell ref="A37:B37"/>
    <mergeCell ref="A38:B38"/>
    <mergeCell ref="A39:B39"/>
    <mergeCell ref="A28:B28"/>
    <mergeCell ref="A29:B29"/>
    <mergeCell ref="A30:B30"/>
    <mergeCell ref="A31:B31"/>
    <mergeCell ref="A32:B32"/>
    <mergeCell ref="A33:B33"/>
    <mergeCell ref="A22:B22"/>
    <mergeCell ref="A23:B23"/>
    <mergeCell ref="A24:B24"/>
    <mergeCell ref="A25:B25"/>
    <mergeCell ref="A26:B26"/>
    <mergeCell ref="A27:B27"/>
    <mergeCell ref="A16:B16"/>
    <mergeCell ref="A17:B17"/>
    <mergeCell ref="A18:B18"/>
    <mergeCell ref="A19:B19"/>
    <mergeCell ref="A20:B20"/>
    <mergeCell ref="A21:B21"/>
    <mergeCell ref="A10:B10"/>
    <mergeCell ref="A11:B11"/>
    <mergeCell ref="A12:B12"/>
    <mergeCell ref="A13:B13"/>
    <mergeCell ref="A14:B14"/>
    <mergeCell ref="A15:B15"/>
    <mergeCell ref="A8:B9"/>
    <mergeCell ref="C8:C9"/>
    <mergeCell ref="D8:D9"/>
    <mergeCell ref="E8:E9"/>
    <mergeCell ref="F8:F9"/>
    <mergeCell ref="G8:G9"/>
    <mergeCell ref="A6:B7"/>
    <mergeCell ref="C6:C7"/>
    <mergeCell ref="D6:D7"/>
    <mergeCell ref="E6:E7"/>
    <mergeCell ref="F6:F7"/>
    <mergeCell ref="G6:G7"/>
    <mergeCell ref="A4:B5"/>
    <mergeCell ref="C4:C5"/>
    <mergeCell ref="D4:D5"/>
    <mergeCell ref="E4:E5"/>
    <mergeCell ref="F4:F5"/>
    <mergeCell ref="G4:G5"/>
    <mergeCell ref="A1:G1"/>
    <mergeCell ref="A2:B3"/>
    <mergeCell ref="C2:C3"/>
    <mergeCell ref="D2:D3"/>
    <mergeCell ref="E2:E3"/>
    <mergeCell ref="F2:F3"/>
    <mergeCell ref="G2:G3"/>
  </mergeCells>
  <pageMargins left="0.39400000000000002" right="0.39400000000000002" top="0.59099999999999997" bottom="0.59099999999999997" header="0.5" footer="0.5"/>
  <pageSetup paperSize="0" fitToHeight="0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0"/>
  <sheetViews>
    <sheetView workbookViewId="0">
      <pane ySplit="10" topLeftCell="A11" activePane="bottomLeft" state="frozenSplit"/>
      <selection pane="bottomLeft" sqref="A1:G1"/>
    </sheetView>
  </sheetViews>
  <sheetFormatPr defaultColWidth="11.5546875" defaultRowHeight="13.2" x14ac:dyDescent="0.25"/>
  <cols>
    <col min="1" max="1" width="17.88671875" customWidth="1"/>
    <col min="2" max="2" width="17.33203125" customWidth="1"/>
    <col min="3" max="3" width="77.88671875" customWidth="1"/>
    <col min="4" max="4" width="22.5546875" customWidth="1"/>
    <col min="5" max="5" width="24.109375" customWidth="1"/>
    <col min="6" max="6" width="15.77734375" customWidth="1"/>
    <col min="7" max="7" width="18.109375" customWidth="1"/>
  </cols>
  <sheetData>
    <row r="1" spans="1:8" ht="73.05" customHeight="1" x14ac:dyDescent="0.4">
      <c r="A1" s="105" t="s">
        <v>582</v>
      </c>
      <c r="B1" s="106"/>
      <c r="C1" s="106"/>
      <c r="D1" s="106"/>
      <c r="E1" s="106"/>
      <c r="F1" s="106"/>
      <c r="G1" s="106"/>
    </row>
    <row r="2" spans="1:8" x14ac:dyDescent="0.25">
      <c r="A2" s="107" t="s">
        <v>1</v>
      </c>
      <c r="B2" s="111" t="str">
        <f>'Stavební rozpočet'!C2</f>
        <v>Výměna zdroje tepla v budově Obecního úřadu Doubrava č.p. 599</v>
      </c>
      <c r="C2" s="142"/>
      <c r="D2" s="114" t="s">
        <v>489</v>
      </c>
      <c r="E2" s="114" t="str">
        <f>'Stavební rozpočet'!G2</f>
        <v>Obec Doubrava, Doubrava 599, 735 33 Doubrava</v>
      </c>
      <c r="F2" s="108"/>
      <c r="G2" s="115"/>
      <c r="H2" s="6"/>
    </row>
    <row r="3" spans="1:8" x14ac:dyDescent="0.25">
      <c r="A3" s="109"/>
      <c r="B3" s="112"/>
      <c r="C3" s="112"/>
      <c r="D3" s="110"/>
      <c r="E3" s="110"/>
      <c r="F3" s="110"/>
      <c r="G3" s="116"/>
      <c r="H3" s="6"/>
    </row>
    <row r="4" spans="1:8" x14ac:dyDescent="0.25">
      <c r="A4" s="117" t="s">
        <v>2</v>
      </c>
      <c r="B4" s="118" t="str">
        <f>'Stavební rozpočet'!C4</f>
        <v>účelová-ostatní</v>
      </c>
      <c r="C4" s="110"/>
      <c r="D4" s="118" t="s">
        <v>490</v>
      </c>
      <c r="E4" s="118" t="str">
        <f>'Stavební rozpočet'!G4</f>
        <v>Ing. Stanislav Wilczek</v>
      </c>
      <c r="F4" s="110"/>
      <c r="G4" s="116"/>
      <c r="H4" s="6"/>
    </row>
    <row r="5" spans="1:8" x14ac:dyDescent="0.25">
      <c r="A5" s="109"/>
      <c r="B5" s="110"/>
      <c r="C5" s="110"/>
      <c r="D5" s="110"/>
      <c r="E5" s="110"/>
      <c r="F5" s="110"/>
      <c r="G5" s="116"/>
      <c r="H5" s="6"/>
    </row>
    <row r="6" spans="1:8" x14ac:dyDescent="0.25">
      <c r="A6" s="117" t="s">
        <v>3</v>
      </c>
      <c r="B6" s="118" t="str">
        <f>'Stavební rozpočet'!C6</f>
        <v>Budova OÚ, Doubrava 599,  735 33 Doubrava</v>
      </c>
      <c r="C6" s="110"/>
      <c r="D6" s="118" t="s">
        <v>491</v>
      </c>
      <c r="E6" s="118" t="str">
        <f>'Stavební rozpočet'!G6</f>
        <v> </v>
      </c>
      <c r="F6" s="110"/>
      <c r="G6" s="116"/>
      <c r="H6" s="6"/>
    </row>
    <row r="7" spans="1:8" x14ac:dyDescent="0.25">
      <c r="A7" s="109"/>
      <c r="B7" s="110"/>
      <c r="C7" s="110"/>
      <c r="D7" s="110"/>
      <c r="E7" s="110"/>
      <c r="F7" s="110"/>
      <c r="G7" s="116"/>
      <c r="H7" s="6"/>
    </row>
    <row r="8" spans="1:8" x14ac:dyDescent="0.25">
      <c r="A8" s="117" t="s">
        <v>492</v>
      </c>
      <c r="B8" s="118" t="str">
        <f>'Stavební rozpočet'!G8</f>
        <v>Ing. Stanislav Wilczek</v>
      </c>
      <c r="C8" s="110"/>
      <c r="D8" s="118" t="s">
        <v>485</v>
      </c>
      <c r="E8" s="118" t="str">
        <f>'Stavební rozpočet'!E8</f>
        <v>15.10.2021</v>
      </c>
      <c r="F8" s="110"/>
      <c r="G8" s="116"/>
      <c r="H8" s="6"/>
    </row>
    <row r="9" spans="1:8" x14ac:dyDescent="0.25">
      <c r="A9" s="120"/>
      <c r="B9" s="121"/>
      <c r="C9" s="121"/>
      <c r="D9" s="121"/>
      <c r="E9" s="121"/>
      <c r="F9" s="121"/>
      <c r="G9" s="122"/>
      <c r="H9" s="6"/>
    </row>
    <row r="10" spans="1:8" x14ac:dyDescent="0.25">
      <c r="A10" s="64" t="s">
        <v>5</v>
      </c>
      <c r="B10" s="52" t="s">
        <v>148</v>
      </c>
      <c r="C10" s="152" t="s">
        <v>308</v>
      </c>
      <c r="D10" s="146"/>
      <c r="E10" s="52" t="s">
        <v>498</v>
      </c>
      <c r="F10" s="71" t="s">
        <v>509</v>
      </c>
      <c r="G10" s="75" t="s">
        <v>583</v>
      </c>
      <c r="H10" s="57"/>
    </row>
    <row r="11" spans="1:8" x14ac:dyDescent="0.25">
      <c r="A11" s="65"/>
      <c r="B11" s="13" t="s">
        <v>149</v>
      </c>
      <c r="C11" s="133" t="s">
        <v>310</v>
      </c>
      <c r="D11" s="134"/>
      <c r="E11" s="13"/>
      <c r="F11" s="45"/>
      <c r="G11" s="76"/>
      <c r="H11" s="6"/>
    </row>
    <row r="12" spans="1:8" x14ac:dyDescent="0.25">
      <c r="A12" s="4" t="s">
        <v>7</v>
      </c>
      <c r="B12" s="14" t="s">
        <v>150</v>
      </c>
      <c r="C12" s="135" t="s">
        <v>311</v>
      </c>
      <c r="D12" s="136"/>
      <c r="E12" s="14" t="s">
        <v>499</v>
      </c>
      <c r="F12" s="26">
        <v>12</v>
      </c>
      <c r="G12" s="49">
        <v>0</v>
      </c>
      <c r="H12" s="6"/>
    </row>
    <row r="13" spans="1:8" x14ac:dyDescent="0.25">
      <c r="A13" s="66"/>
      <c r="B13" s="15" t="s">
        <v>37</v>
      </c>
      <c r="C13" s="137" t="s">
        <v>312</v>
      </c>
      <c r="D13" s="138"/>
      <c r="E13" s="15"/>
      <c r="F13" s="46"/>
      <c r="G13" s="77"/>
      <c r="H13" s="6"/>
    </row>
    <row r="14" spans="1:8" x14ac:dyDescent="0.25">
      <c r="A14" s="4" t="s">
        <v>8</v>
      </c>
      <c r="B14" s="14" t="s">
        <v>151</v>
      </c>
      <c r="C14" s="135" t="s">
        <v>313</v>
      </c>
      <c r="D14" s="136"/>
      <c r="E14" s="14" t="s">
        <v>500</v>
      </c>
      <c r="F14" s="26">
        <v>1</v>
      </c>
      <c r="G14" s="49">
        <v>0</v>
      </c>
      <c r="H14" s="6"/>
    </row>
    <row r="15" spans="1:8" x14ac:dyDescent="0.25">
      <c r="A15" s="66"/>
      <c r="B15" s="15" t="s">
        <v>67</v>
      </c>
      <c r="C15" s="137" t="s">
        <v>314</v>
      </c>
      <c r="D15" s="138"/>
      <c r="E15" s="15"/>
      <c r="F15" s="46"/>
      <c r="G15" s="77"/>
      <c r="H15" s="6"/>
    </row>
    <row r="16" spans="1:8" x14ac:dyDescent="0.25">
      <c r="A16" s="4" t="s">
        <v>9</v>
      </c>
      <c r="B16" s="14" t="s">
        <v>152</v>
      </c>
      <c r="C16" s="135" t="s">
        <v>315</v>
      </c>
      <c r="D16" s="136"/>
      <c r="E16" s="14" t="s">
        <v>500</v>
      </c>
      <c r="F16" s="26">
        <v>1</v>
      </c>
      <c r="G16" s="49">
        <v>0</v>
      </c>
      <c r="H16" s="6"/>
    </row>
    <row r="17" spans="1:8" x14ac:dyDescent="0.25">
      <c r="A17" s="66"/>
      <c r="B17" s="15" t="s">
        <v>69</v>
      </c>
      <c r="C17" s="137" t="s">
        <v>316</v>
      </c>
      <c r="D17" s="138"/>
      <c r="E17" s="15"/>
      <c r="F17" s="46"/>
      <c r="G17" s="77"/>
      <c r="H17" s="6"/>
    </row>
    <row r="18" spans="1:8" x14ac:dyDescent="0.25">
      <c r="A18" s="4" t="s">
        <v>10</v>
      </c>
      <c r="B18" s="14" t="s">
        <v>153</v>
      </c>
      <c r="C18" s="135" t="s">
        <v>317</v>
      </c>
      <c r="D18" s="136"/>
      <c r="E18" s="14" t="s">
        <v>501</v>
      </c>
      <c r="F18" s="26">
        <v>3.64</v>
      </c>
      <c r="G18" s="49">
        <v>0</v>
      </c>
      <c r="H18" s="6"/>
    </row>
    <row r="19" spans="1:8" ht="12.15" customHeight="1" x14ac:dyDescent="0.25">
      <c r="A19" s="4"/>
      <c r="B19" s="14"/>
      <c r="C19" s="69" t="s">
        <v>318</v>
      </c>
      <c r="D19" s="153"/>
      <c r="E19" s="153"/>
      <c r="F19" s="72">
        <v>3.64</v>
      </c>
      <c r="G19" s="78"/>
      <c r="H19" s="6"/>
    </row>
    <row r="20" spans="1:8" x14ac:dyDescent="0.25">
      <c r="A20" s="66"/>
      <c r="B20" s="15" t="s">
        <v>154</v>
      </c>
      <c r="C20" s="137" t="s">
        <v>319</v>
      </c>
      <c r="D20" s="138"/>
      <c r="E20" s="15"/>
      <c r="F20" s="46"/>
      <c r="G20" s="77"/>
      <c r="H20" s="6"/>
    </row>
    <row r="21" spans="1:8" x14ac:dyDescent="0.25">
      <c r="A21" s="4" t="s">
        <v>11</v>
      </c>
      <c r="B21" s="14" t="s">
        <v>155</v>
      </c>
      <c r="C21" s="135" t="s">
        <v>320</v>
      </c>
      <c r="D21" s="136"/>
      <c r="E21" s="14" t="s">
        <v>502</v>
      </c>
      <c r="F21" s="26">
        <v>4</v>
      </c>
      <c r="G21" s="49">
        <v>0</v>
      </c>
      <c r="H21" s="6"/>
    </row>
    <row r="22" spans="1:8" x14ac:dyDescent="0.25">
      <c r="A22" s="4" t="s">
        <v>12</v>
      </c>
      <c r="B22" s="14" t="s">
        <v>156</v>
      </c>
      <c r="C22" s="135" t="s">
        <v>321</v>
      </c>
      <c r="D22" s="136"/>
      <c r="E22" s="14" t="s">
        <v>502</v>
      </c>
      <c r="F22" s="26">
        <v>38</v>
      </c>
      <c r="G22" s="49">
        <v>0</v>
      </c>
      <c r="H22" s="6"/>
    </row>
    <row r="23" spans="1:8" x14ac:dyDescent="0.25">
      <c r="A23" s="4" t="s">
        <v>13</v>
      </c>
      <c r="B23" s="14" t="s">
        <v>157</v>
      </c>
      <c r="C23" s="135" t="s">
        <v>322</v>
      </c>
      <c r="D23" s="136"/>
      <c r="E23" s="14" t="s">
        <v>502</v>
      </c>
      <c r="F23" s="26">
        <v>26</v>
      </c>
      <c r="G23" s="49">
        <v>0</v>
      </c>
      <c r="H23" s="6"/>
    </row>
    <row r="24" spans="1:8" x14ac:dyDescent="0.25">
      <c r="A24" s="66"/>
      <c r="B24" s="15" t="s">
        <v>158</v>
      </c>
      <c r="C24" s="137" t="s">
        <v>323</v>
      </c>
      <c r="D24" s="138"/>
      <c r="E24" s="15"/>
      <c r="F24" s="46"/>
      <c r="G24" s="77"/>
      <c r="H24" s="6"/>
    </row>
    <row r="25" spans="1:8" x14ac:dyDescent="0.25">
      <c r="A25" s="4" t="s">
        <v>14</v>
      </c>
      <c r="B25" s="14" t="s">
        <v>159</v>
      </c>
      <c r="C25" s="135" t="s">
        <v>324</v>
      </c>
      <c r="D25" s="136"/>
      <c r="E25" s="14" t="s">
        <v>500</v>
      </c>
      <c r="F25" s="26">
        <v>1</v>
      </c>
      <c r="G25" s="49">
        <v>0</v>
      </c>
      <c r="H25" s="6"/>
    </row>
    <row r="26" spans="1:8" x14ac:dyDescent="0.25">
      <c r="A26" s="4" t="s">
        <v>15</v>
      </c>
      <c r="B26" s="14" t="s">
        <v>160</v>
      </c>
      <c r="C26" s="135" t="s">
        <v>325</v>
      </c>
      <c r="D26" s="136"/>
      <c r="E26" s="14" t="s">
        <v>502</v>
      </c>
      <c r="F26" s="26">
        <v>1</v>
      </c>
      <c r="G26" s="49">
        <v>0</v>
      </c>
      <c r="H26" s="6"/>
    </row>
    <row r="27" spans="1:8" x14ac:dyDescent="0.25">
      <c r="A27" s="66"/>
      <c r="B27" s="15" t="s">
        <v>161</v>
      </c>
      <c r="C27" s="137" t="s">
        <v>326</v>
      </c>
      <c r="D27" s="138"/>
      <c r="E27" s="15"/>
      <c r="F27" s="46"/>
      <c r="G27" s="77"/>
      <c r="H27" s="6"/>
    </row>
    <row r="28" spans="1:8" x14ac:dyDescent="0.25">
      <c r="A28" s="4" t="s">
        <v>16</v>
      </c>
      <c r="B28" s="14" t="s">
        <v>162</v>
      </c>
      <c r="C28" s="135" t="s">
        <v>327</v>
      </c>
      <c r="D28" s="136"/>
      <c r="E28" s="14" t="s">
        <v>500</v>
      </c>
      <c r="F28" s="26">
        <v>2</v>
      </c>
      <c r="G28" s="49">
        <v>0</v>
      </c>
      <c r="H28" s="6"/>
    </row>
    <row r="29" spans="1:8" x14ac:dyDescent="0.25">
      <c r="A29" s="4" t="s">
        <v>17</v>
      </c>
      <c r="B29" s="14" t="s">
        <v>163</v>
      </c>
      <c r="C29" s="135" t="s">
        <v>328</v>
      </c>
      <c r="D29" s="136"/>
      <c r="E29" s="14" t="s">
        <v>500</v>
      </c>
      <c r="F29" s="26">
        <v>1</v>
      </c>
      <c r="G29" s="49">
        <v>0</v>
      </c>
      <c r="H29" s="6"/>
    </row>
    <row r="30" spans="1:8" x14ac:dyDescent="0.25">
      <c r="A30" s="4" t="s">
        <v>18</v>
      </c>
      <c r="B30" s="14" t="s">
        <v>164</v>
      </c>
      <c r="C30" s="135" t="s">
        <v>329</v>
      </c>
      <c r="D30" s="136"/>
      <c r="E30" s="14" t="s">
        <v>502</v>
      </c>
      <c r="F30" s="26">
        <v>2</v>
      </c>
      <c r="G30" s="49">
        <v>0</v>
      </c>
      <c r="H30" s="6"/>
    </row>
    <row r="31" spans="1:8" x14ac:dyDescent="0.25">
      <c r="A31" s="4" t="s">
        <v>19</v>
      </c>
      <c r="B31" s="14" t="s">
        <v>165</v>
      </c>
      <c r="C31" s="135" t="s">
        <v>330</v>
      </c>
      <c r="D31" s="136"/>
      <c r="E31" s="14" t="s">
        <v>502</v>
      </c>
      <c r="F31" s="26">
        <v>10</v>
      </c>
      <c r="G31" s="49">
        <v>0</v>
      </c>
      <c r="H31" s="6"/>
    </row>
    <row r="32" spans="1:8" x14ac:dyDescent="0.25">
      <c r="A32" s="4" t="s">
        <v>20</v>
      </c>
      <c r="B32" s="14" t="s">
        <v>166</v>
      </c>
      <c r="C32" s="135" t="s">
        <v>331</v>
      </c>
      <c r="D32" s="136"/>
      <c r="E32" s="14" t="s">
        <v>503</v>
      </c>
      <c r="F32" s="26">
        <v>1</v>
      </c>
      <c r="G32" s="49">
        <v>0</v>
      </c>
      <c r="H32" s="6"/>
    </row>
    <row r="33" spans="1:8" x14ac:dyDescent="0.25">
      <c r="A33" s="4" t="s">
        <v>21</v>
      </c>
      <c r="B33" s="14" t="s">
        <v>167</v>
      </c>
      <c r="C33" s="135" t="s">
        <v>332</v>
      </c>
      <c r="D33" s="136"/>
      <c r="E33" s="14" t="s">
        <v>500</v>
      </c>
      <c r="F33" s="26">
        <v>1</v>
      </c>
      <c r="G33" s="49">
        <v>0</v>
      </c>
      <c r="H33" s="6"/>
    </row>
    <row r="34" spans="1:8" x14ac:dyDescent="0.25">
      <c r="A34" s="4" t="s">
        <v>22</v>
      </c>
      <c r="B34" s="14" t="s">
        <v>168</v>
      </c>
      <c r="C34" s="135" t="s">
        <v>333</v>
      </c>
      <c r="D34" s="136"/>
      <c r="E34" s="14" t="s">
        <v>500</v>
      </c>
      <c r="F34" s="26">
        <v>1</v>
      </c>
      <c r="G34" s="49">
        <v>0</v>
      </c>
      <c r="H34" s="6"/>
    </row>
    <row r="35" spans="1:8" x14ac:dyDescent="0.25">
      <c r="A35" s="4" t="s">
        <v>23</v>
      </c>
      <c r="B35" s="14" t="s">
        <v>169</v>
      </c>
      <c r="C35" s="135" t="s">
        <v>334</v>
      </c>
      <c r="D35" s="136"/>
      <c r="E35" s="14" t="s">
        <v>500</v>
      </c>
      <c r="F35" s="26">
        <v>1</v>
      </c>
      <c r="G35" s="49">
        <v>0</v>
      </c>
      <c r="H35" s="6"/>
    </row>
    <row r="36" spans="1:8" x14ac:dyDescent="0.25">
      <c r="A36" s="66"/>
      <c r="B36" s="15" t="s">
        <v>170</v>
      </c>
      <c r="C36" s="137" t="s">
        <v>335</v>
      </c>
      <c r="D36" s="138"/>
      <c r="E36" s="15"/>
      <c r="F36" s="46"/>
      <c r="G36" s="77"/>
      <c r="H36" s="6"/>
    </row>
    <row r="37" spans="1:8" x14ac:dyDescent="0.25">
      <c r="A37" s="4" t="s">
        <v>24</v>
      </c>
      <c r="B37" s="14" t="s">
        <v>171</v>
      </c>
      <c r="C37" s="135" t="s">
        <v>336</v>
      </c>
      <c r="D37" s="136"/>
      <c r="E37" s="14" t="s">
        <v>500</v>
      </c>
      <c r="F37" s="26">
        <v>1</v>
      </c>
      <c r="G37" s="49">
        <v>0</v>
      </c>
      <c r="H37" s="6"/>
    </row>
    <row r="38" spans="1:8" x14ac:dyDescent="0.25">
      <c r="A38" s="4" t="s">
        <v>25</v>
      </c>
      <c r="B38" s="14" t="s">
        <v>172</v>
      </c>
      <c r="C38" s="135" t="s">
        <v>337</v>
      </c>
      <c r="D38" s="136"/>
      <c r="E38" s="14" t="s">
        <v>500</v>
      </c>
      <c r="F38" s="26">
        <v>2</v>
      </c>
      <c r="G38" s="49">
        <v>0</v>
      </c>
      <c r="H38" s="6"/>
    </row>
    <row r="39" spans="1:8" x14ac:dyDescent="0.25">
      <c r="A39" s="4" t="s">
        <v>26</v>
      </c>
      <c r="B39" s="14" t="s">
        <v>173</v>
      </c>
      <c r="C39" s="135" t="s">
        <v>338</v>
      </c>
      <c r="D39" s="136"/>
      <c r="E39" s="14" t="s">
        <v>503</v>
      </c>
      <c r="F39" s="26">
        <v>2</v>
      </c>
      <c r="G39" s="49">
        <v>0</v>
      </c>
      <c r="H39" s="6"/>
    </row>
    <row r="40" spans="1:8" x14ac:dyDescent="0.25">
      <c r="A40" s="7" t="s">
        <v>27</v>
      </c>
      <c r="B40" s="16" t="s">
        <v>174</v>
      </c>
      <c r="C40" s="139" t="s">
        <v>339</v>
      </c>
      <c r="D40" s="140"/>
      <c r="E40" s="16" t="s">
        <v>504</v>
      </c>
      <c r="F40" s="28">
        <v>1</v>
      </c>
      <c r="G40" s="51">
        <v>0</v>
      </c>
      <c r="H40" s="6"/>
    </row>
    <row r="41" spans="1:8" ht="12.15" customHeight="1" x14ac:dyDescent="0.25">
      <c r="A41" s="7"/>
      <c r="B41" s="16"/>
      <c r="C41" s="69" t="s">
        <v>340</v>
      </c>
      <c r="D41" s="153"/>
      <c r="E41" s="153"/>
      <c r="F41" s="73">
        <v>0</v>
      </c>
      <c r="G41" s="79"/>
      <c r="H41" s="6"/>
    </row>
    <row r="42" spans="1:8" x14ac:dyDescent="0.25">
      <c r="A42" s="7" t="s">
        <v>28</v>
      </c>
      <c r="B42" s="16" t="s">
        <v>174</v>
      </c>
      <c r="C42" s="139" t="s">
        <v>341</v>
      </c>
      <c r="D42" s="140"/>
      <c r="E42" s="16" t="s">
        <v>504</v>
      </c>
      <c r="F42" s="28">
        <v>1</v>
      </c>
      <c r="G42" s="51">
        <v>0</v>
      </c>
      <c r="H42" s="6"/>
    </row>
    <row r="43" spans="1:8" ht="12.15" customHeight="1" x14ac:dyDescent="0.25">
      <c r="A43" s="7"/>
      <c r="B43" s="16"/>
      <c r="C43" s="69" t="s">
        <v>342</v>
      </c>
      <c r="D43" s="153"/>
      <c r="E43" s="153"/>
      <c r="F43" s="73">
        <v>0</v>
      </c>
      <c r="G43" s="79"/>
      <c r="H43" s="6"/>
    </row>
    <row r="44" spans="1:8" x14ac:dyDescent="0.25">
      <c r="A44" s="7" t="s">
        <v>29</v>
      </c>
      <c r="B44" s="16" t="s">
        <v>175</v>
      </c>
      <c r="C44" s="139" t="s">
        <v>343</v>
      </c>
      <c r="D44" s="140"/>
      <c r="E44" s="16" t="s">
        <v>504</v>
      </c>
      <c r="F44" s="28">
        <v>2</v>
      </c>
      <c r="G44" s="51">
        <v>0</v>
      </c>
      <c r="H44" s="6"/>
    </row>
    <row r="45" spans="1:8" x14ac:dyDescent="0.25">
      <c r="A45" s="7" t="s">
        <v>30</v>
      </c>
      <c r="B45" s="16" t="s">
        <v>176</v>
      </c>
      <c r="C45" s="139" t="s">
        <v>344</v>
      </c>
      <c r="D45" s="140"/>
      <c r="E45" s="16" t="s">
        <v>504</v>
      </c>
      <c r="F45" s="28">
        <v>1</v>
      </c>
      <c r="G45" s="51">
        <v>0</v>
      </c>
      <c r="H45" s="6"/>
    </row>
    <row r="46" spans="1:8" x14ac:dyDescent="0.25">
      <c r="A46" s="7" t="s">
        <v>31</v>
      </c>
      <c r="B46" s="16" t="s">
        <v>177</v>
      </c>
      <c r="C46" s="139" t="s">
        <v>345</v>
      </c>
      <c r="D46" s="140"/>
      <c r="E46" s="16" t="s">
        <v>504</v>
      </c>
      <c r="F46" s="28">
        <v>1</v>
      </c>
      <c r="G46" s="51">
        <v>0</v>
      </c>
      <c r="H46" s="6"/>
    </row>
    <row r="47" spans="1:8" x14ac:dyDescent="0.25">
      <c r="A47" s="7" t="s">
        <v>32</v>
      </c>
      <c r="B47" s="16" t="s">
        <v>178</v>
      </c>
      <c r="C47" s="139" t="s">
        <v>346</v>
      </c>
      <c r="D47" s="140"/>
      <c r="E47" s="16" t="s">
        <v>504</v>
      </c>
      <c r="F47" s="28">
        <v>1</v>
      </c>
      <c r="G47" s="51">
        <v>0</v>
      </c>
      <c r="H47" s="6"/>
    </row>
    <row r="48" spans="1:8" x14ac:dyDescent="0.25">
      <c r="A48" s="7" t="s">
        <v>33</v>
      </c>
      <c r="B48" s="16" t="s">
        <v>179</v>
      </c>
      <c r="C48" s="139" t="s">
        <v>347</v>
      </c>
      <c r="D48" s="140"/>
      <c r="E48" s="16" t="s">
        <v>504</v>
      </c>
      <c r="F48" s="28">
        <v>2</v>
      </c>
      <c r="G48" s="51">
        <v>0</v>
      </c>
      <c r="H48" s="6"/>
    </row>
    <row r="49" spans="1:8" x14ac:dyDescent="0.25">
      <c r="A49" s="66"/>
      <c r="B49" s="15" t="s">
        <v>180</v>
      </c>
      <c r="C49" s="137" t="s">
        <v>348</v>
      </c>
      <c r="D49" s="138"/>
      <c r="E49" s="15"/>
      <c r="F49" s="46"/>
      <c r="G49" s="77"/>
      <c r="H49" s="6"/>
    </row>
    <row r="50" spans="1:8" x14ac:dyDescent="0.25">
      <c r="A50" s="4" t="s">
        <v>34</v>
      </c>
      <c r="B50" s="14" t="s">
        <v>181</v>
      </c>
      <c r="C50" s="135" t="s">
        <v>349</v>
      </c>
      <c r="D50" s="136"/>
      <c r="E50" s="14" t="s">
        <v>500</v>
      </c>
      <c r="F50" s="26">
        <v>1</v>
      </c>
      <c r="G50" s="49">
        <v>0</v>
      </c>
      <c r="H50" s="6"/>
    </row>
    <row r="51" spans="1:8" x14ac:dyDescent="0.25">
      <c r="A51" s="4" t="s">
        <v>35</v>
      </c>
      <c r="B51" s="14" t="s">
        <v>182</v>
      </c>
      <c r="C51" s="135" t="s">
        <v>350</v>
      </c>
      <c r="D51" s="136"/>
      <c r="E51" s="14" t="s">
        <v>500</v>
      </c>
      <c r="F51" s="26">
        <v>2</v>
      </c>
      <c r="G51" s="49">
        <v>0</v>
      </c>
      <c r="H51" s="6"/>
    </row>
    <row r="52" spans="1:8" x14ac:dyDescent="0.25">
      <c r="A52" s="4" t="s">
        <v>36</v>
      </c>
      <c r="B52" s="14" t="s">
        <v>183</v>
      </c>
      <c r="C52" s="135" t="s">
        <v>351</v>
      </c>
      <c r="D52" s="136"/>
      <c r="E52" s="14" t="s">
        <v>500</v>
      </c>
      <c r="F52" s="26">
        <v>1</v>
      </c>
      <c r="G52" s="49">
        <v>0</v>
      </c>
      <c r="H52" s="6"/>
    </row>
    <row r="53" spans="1:8" x14ac:dyDescent="0.25">
      <c r="A53" s="4" t="s">
        <v>37</v>
      </c>
      <c r="B53" s="14" t="s">
        <v>184</v>
      </c>
      <c r="C53" s="135" t="s">
        <v>352</v>
      </c>
      <c r="D53" s="136"/>
      <c r="E53" s="14" t="s">
        <v>500</v>
      </c>
      <c r="F53" s="26">
        <v>2</v>
      </c>
      <c r="G53" s="49">
        <v>0</v>
      </c>
      <c r="H53" s="6"/>
    </row>
    <row r="54" spans="1:8" x14ac:dyDescent="0.25">
      <c r="A54" s="4" t="s">
        <v>38</v>
      </c>
      <c r="B54" s="14" t="s">
        <v>185</v>
      </c>
      <c r="C54" s="135" t="s">
        <v>353</v>
      </c>
      <c r="D54" s="136"/>
      <c r="E54" s="14" t="s">
        <v>500</v>
      </c>
      <c r="F54" s="26">
        <v>6</v>
      </c>
      <c r="G54" s="49">
        <v>0</v>
      </c>
      <c r="H54" s="6"/>
    </row>
    <row r="55" spans="1:8" ht="12.15" customHeight="1" x14ac:dyDescent="0.25">
      <c r="A55" s="4"/>
      <c r="B55" s="14"/>
      <c r="C55" s="69" t="s">
        <v>354</v>
      </c>
      <c r="D55" s="153"/>
      <c r="E55" s="153"/>
      <c r="F55" s="72">
        <v>0</v>
      </c>
      <c r="G55" s="78"/>
      <c r="H55" s="6"/>
    </row>
    <row r="56" spans="1:8" x14ac:dyDescent="0.25">
      <c r="A56" s="4" t="s">
        <v>39</v>
      </c>
      <c r="B56" s="14" t="s">
        <v>186</v>
      </c>
      <c r="C56" s="135" t="s">
        <v>355</v>
      </c>
      <c r="D56" s="136"/>
      <c r="E56" s="14" t="s">
        <v>500</v>
      </c>
      <c r="F56" s="26">
        <v>6</v>
      </c>
      <c r="G56" s="49">
        <v>0</v>
      </c>
      <c r="H56" s="6"/>
    </row>
    <row r="57" spans="1:8" x14ac:dyDescent="0.25">
      <c r="A57" s="66"/>
      <c r="B57" s="15" t="s">
        <v>187</v>
      </c>
      <c r="C57" s="137" t="s">
        <v>356</v>
      </c>
      <c r="D57" s="138"/>
      <c r="E57" s="15"/>
      <c r="F57" s="46"/>
      <c r="G57" s="77"/>
      <c r="H57" s="6"/>
    </row>
    <row r="58" spans="1:8" x14ac:dyDescent="0.25">
      <c r="A58" s="4" t="s">
        <v>40</v>
      </c>
      <c r="B58" s="14" t="s">
        <v>188</v>
      </c>
      <c r="C58" s="135" t="s">
        <v>357</v>
      </c>
      <c r="D58" s="136"/>
      <c r="E58" s="14" t="s">
        <v>502</v>
      </c>
      <c r="F58" s="26">
        <v>3</v>
      </c>
      <c r="G58" s="49">
        <v>0</v>
      </c>
      <c r="H58" s="6"/>
    </row>
    <row r="59" spans="1:8" x14ac:dyDescent="0.25">
      <c r="A59" s="4" t="s">
        <v>41</v>
      </c>
      <c r="B59" s="14" t="s">
        <v>189</v>
      </c>
      <c r="C59" s="135" t="s">
        <v>358</v>
      </c>
      <c r="D59" s="136"/>
      <c r="E59" s="14" t="s">
        <v>502</v>
      </c>
      <c r="F59" s="26">
        <v>5</v>
      </c>
      <c r="G59" s="49">
        <v>0</v>
      </c>
      <c r="H59" s="6"/>
    </row>
    <row r="60" spans="1:8" x14ac:dyDescent="0.25">
      <c r="A60" s="4" t="s">
        <v>42</v>
      </c>
      <c r="B60" s="14" t="s">
        <v>190</v>
      </c>
      <c r="C60" s="135" t="s">
        <v>359</v>
      </c>
      <c r="D60" s="136"/>
      <c r="E60" s="14" t="s">
        <v>502</v>
      </c>
      <c r="F60" s="26">
        <v>4</v>
      </c>
      <c r="G60" s="49">
        <v>0</v>
      </c>
      <c r="H60" s="6"/>
    </row>
    <row r="61" spans="1:8" x14ac:dyDescent="0.25">
      <c r="A61" s="4" t="s">
        <v>43</v>
      </c>
      <c r="B61" s="14" t="s">
        <v>191</v>
      </c>
      <c r="C61" s="135" t="s">
        <v>360</v>
      </c>
      <c r="D61" s="136"/>
      <c r="E61" s="14" t="s">
        <v>500</v>
      </c>
      <c r="F61" s="26">
        <v>2</v>
      </c>
      <c r="G61" s="49">
        <v>0</v>
      </c>
      <c r="H61" s="6"/>
    </row>
    <row r="62" spans="1:8" x14ac:dyDescent="0.25">
      <c r="A62" s="4" t="s">
        <v>44</v>
      </c>
      <c r="B62" s="14" t="s">
        <v>192</v>
      </c>
      <c r="C62" s="135" t="s">
        <v>361</v>
      </c>
      <c r="D62" s="136"/>
      <c r="E62" s="14" t="s">
        <v>502</v>
      </c>
      <c r="F62" s="26">
        <v>26</v>
      </c>
      <c r="G62" s="49">
        <v>0</v>
      </c>
      <c r="H62" s="6"/>
    </row>
    <row r="63" spans="1:8" x14ac:dyDescent="0.25">
      <c r="A63" s="4" t="s">
        <v>45</v>
      </c>
      <c r="B63" s="14" t="s">
        <v>193</v>
      </c>
      <c r="C63" s="135" t="s">
        <v>362</v>
      </c>
      <c r="D63" s="136"/>
      <c r="E63" s="14" t="s">
        <v>502</v>
      </c>
      <c r="F63" s="26">
        <v>38</v>
      </c>
      <c r="G63" s="49">
        <v>0</v>
      </c>
      <c r="H63" s="6"/>
    </row>
    <row r="64" spans="1:8" x14ac:dyDescent="0.25">
      <c r="A64" s="4" t="s">
        <v>46</v>
      </c>
      <c r="B64" s="14" t="s">
        <v>194</v>
      </c>
      <c r="C64" s="135" t="s">
        <v>363</v>
      </c>
      <c r="D64" s="136"/>
      <c r="E64" s="14" t="s">
        <v>502</v>
      </c>
      <c r="F64" s="26">
        <v>4</v>
      </c>
      <c r="G64" s="49">
        <v>0</v>
      </c>
      <c r="H64" s="6"/>
    </row>
    <row r="65" spans="1:8" x14ac:dyDescent="0.25">
      <c r="A65" s="4" t="s">
        <v>47</v>
      </c>
      <c r="B65" s="14" t="s">
        <v>195</v>
      </c>
      <c r="C65" s="135" t="s">
        <v>364</v>
      </c>
      <c r="D65" s="136"/>
      <c r="E65" s="14" t="s">
        <v>502</v>
      </c>
      <c r="F65" s="26">
        <v>2</v>
      </c>
      <c r="G65" s="49">
        <v>0</v>
      </c>
      <c r="H65" s="6"/>
    </row>
    <row r="66" spans="1:8" x14ac:dyDescent="0.25">
      <c r="A66" s="66"/>
      <c r="B66" s="15" t="s">
        <v>196</v>
      </c>
      <c r="C66" s="137" t="s">
        <v>365</v>
      </c>
      <c r="D66" s="138"/>
      <c r="E66" s="15"/>
      <c r="F66" s="46"/>
      <c r="G66" s="77"/>
      <c r="H66" s="6"/>
    </row>
    <row r="67" spans="1:8" x14ac:dyDescent="0.25">
      <c r="A67" s="4" t="s">
        <v>48</v>
      </c>
      <c r="B67" s="14" t="s">
        <v>197</v>
      </c>
      <c r="C67" s="135" t="s">
        <v>366</v>
      </c>
      <c r="D67" s="136"/>
      <c r="E67" s="14" t="s">
        <v>500</v>
      </c>
      <c r="F67" s="26">
        <v>2</v>
      </c>
      <c r="G67" s="49">
        <v>0</v>
      </c>
      <c r="H67" s="6"/>
    </row>
    <row r="68" spans="1:8" x14ac:dyDescent="0.25">
      <c r="A68" s="4" t="s">
        <v>49</v>
      </c>
      <c r="B68" s="14" t="s">
        <v>198</v>
      </c>
      <c r="C68" s="135" t="s">
        <v>367</v>
      </c>
      <c r="D68" s="136"/>
      <c r="E68" s="14" t="s">
        <v>500</v>
      </c>
      <c r="F68" s="26">
        <v>2</v>
      </c>
      <c r="G68" s="49">
        <v>0</v>
      </c>
      <c r="H68" s="6"/>
    </row>
    <row r="69" spans="1:8" x14ac:dyDescent="0.25">
      <c r="A69" s="4" t="s">
        <v>50</v>
      </c>
      <c r="B69" s="14" t="s">
        <v>199</v>
      </c>
      <c r="C69" s="135" t="s">
        <v>368</v>
      </c>
      <c r="D69" s="136"/>
      <c r="E69" s="14" t="s">
        <v>500</v>
      </c>
      <c r="F69" s="26">
        <v>2</v>
      </c>
      <c r="G69" s="49">
        <v>0</v>
      </c>
      <c r="H69" s="6"/>
    </row>
    <row r="70" spans="1:8" x14ac:dyDescent="0.25">
      <c r="A70" s="4" t="s">
        <v>51</v>
      </c>
      <c r="B70" s="14" t="s">
        <v>200</v>
      </c>
      <c r="C70" s="135" t="s">
        <v>369</v>
      </c>
      <c r="D70" s="136"/>
      <c r="E70" s="14" t="s">
        <v>500</v>
      </c>
      <c r="F70" s="26">
        <v>4</v>
      </c>
      <c r="G70" s="49">
        <v>0</v>
      </c>
      <c r="H70" s="6"/>
    </row>
    <row r="71" spans="1:8" x14ac:dyDescent="0.25">
      <c r="A71" s="4" t="s">
        <v>52</v>
      </c>
      <c r="B71" s="14" t="s">
        <v>201</v>
      </c>
      <c r="C71" s="135" t="s">
        <v>370</v>
      </c>
      <c r="D71" s="136"/>
      <c r="E71" s="14" t="s">
        <v>500</v>
      </c>
      <c r="F71" s="26">
        <v>1</v>
      </c>
      <c r="G71" s="49">
        <v>0</v>
      </c>
      <c r="H71" s="6"/>
    </row>
    <row r="72" spans="1:8" x14ac:dyDescent="0.25">
      <c r="A72" s="4" t="s">
        <v>53</v>
      </c>
      <c r="B72" s="14" t="s">
        <v>201</v>
      </c>
      <c r="C72" s="135" t="s">
        <v>371</v>
      </c>
      <c r="D72" s="136"/>
      <c r="E72" s="14" t="s">
        <v>500</v>
      </c>
      <c r="F72" s="26">
        <v>2</v>
      </c>
      <c r="G72" s="49">
        <v>0</v>
      </c>
      <c r="H72" s="6"/>
    </row>
    <row r="73" spans="1:8" x14ac:dyDescent="0.25">
      <c r="A73" s="4" t="s">
        <v>54</v>
      </c>
      <c r="B73" s="14" t="s">
        <v>202</v>
      </c>
      <c r="C73" s="135" t="s">
        <v>372</v>
      </c>
      <c r="D73" s="136"/>
      <c r="E73" s="14" t="s">
        <v>500</v>
      </c>
      <c r="F73" s="26">
        <v>12</v>
      </c>
      <c r="G73" s="49">
        <v>0</v>
      </c>
      <c r="H73" s="6"/>
    </row>
    <row r="74" spans="1:8" x14ac:dyDescent="0.25">
      <c r="A74" s="4" t="s">
        <v>55</v>
      </c>
      <c r="B74" s="14" t="s">
        <v>203</v>
      </c>
      <c r="C74" s="135" t="s">
        <v>373</v>
      </c>
      <c r="D74" s="136"/>
      <c r="E74" s="14" t="s">
        <v>500</v>
      </c>
      <c r="F74" s="26">
        <v>13</v>
      </c>
      <c r="G74" s="49">
        <v>0</v>
      </c>
      <c r="H74" s="6"/>
    </row>
    <row r="75" spans="1:8" x14ac:dyDescent="0.25">
      <c r="A75" s="4" t="s">
        <v>56</v>
      </c>
      <c r="B75" s="14" t="s">
        <v>204</v>
      </c>
      <c r="C75" s="135" t="s">
        <v>374</v>
      </c>
      <c r="D75" s="136"/>
      <c r="E75" s="14" t="s">
        <v>500</v>
      </c>
      <c r="F75" s="26">
        <v>1</v>
      </c>
      <c r="G75" s="49">
        <v>0</v>
      </c>
      <c r="H75" s="6"/>
    </row>
    <row r="76" spans="1:8" x14ac:dyDescent="0.25">
      <c r="A76" s="4" t="s">
        <v>57</v>
      </c>
      <c r="B76" s="14" t="s">
        <v>205</v>
      </c>
      <c r="C76" s="135" t="s">
        <v>375</v>
      </c>
      <c r="D76" s="136"/>
      <c r="E76" s="14" t="s">
        <v>500</v>
      </c>
      <c r="F76" s="26">
        <v>2</v>
      </c>
      <c r="G76" s="49">
        <v>0</v>
      </c>
      <c r="H76" s="6"/>
    </row>
    <row r="77" spans="1:8" x14ac:dyDescent="0.25">
      <c r="A77" s="4" t="s">
        <v>58</v>
      </c>
      <c r="B77" s="14" t="s">
        <v>205</v>
      </c>
      <c r="C77" s="135" t="s">
        <v>376</v>
      </c>
      <c r="D77" s="136"/>
      <c r="E77" s="14" t="s">
        <v>500</v>
      </c>
      <c r="F77" s="26">
        <v>2</v>
      </c>
      <c r="G77" s="49">
        <v>0</v>
      </c>
      <c r="H77" s="6"/>
    </row>
    <row r="78" spans="1:8" x14ac:dyDescent="0.25">
      <c r="A78" s="4" t="s">
        <v>59</v>
      </c>
      <c r="B78" s="14" t="s">
        <v>206</v>
      </c>
      <c r="C78" s="135" t="s">
        <v>377</v>
      </c>
      <c r="D78" s="136"/>
      <c r="E78" s="14" t="s">
        <v>500</v>
      </c>
      <c r="F78" s="26">
        <v>2</v>
      </c>
      <c r="G78" s="49">
        <v>0</v>
      </c>
      <c r="H78" s="6"/>
    </row>
    <row r="79" spans="1:8" x14ac:dyDescent="0.25">
      <c r="A79" s="4" t="s">
        <v>60</v>
      </c>
      <c r="B79" s="14" t="s">
        <v>207</v>
      </c>
      <c r="C79" s="135" t="s">
        <v>378</v>
      </c>
      <c r="D79" s="136"/>
      <c r="E79" s="14" t="s">
        <v>500</v>
      </c>
      <c r="F79" s="26">
        <v>2</v>
      </c>
      <c r="G79" s="49">
        <v>0</v>
      </c>
      <c r="H79" s="6"/>
    </row>
    <row r="80" spans="1:8" x14ac:dyDescent="0.25">
      <c r="A80" s="4" t="s">
        <v>61</v>
      </c>
      <c r="B80" s="14" t="s">
        <v>208</v>
      </c>
      <c r="C80" s="135" t="s">
        <v>379</v>
      </c>
      <c r="D80" s="136"/>
      <c r="E80" s="14" t="s">
        <v>500</v>
      </c>
      <c r="F80" s="26">
        <v>1</v>
      </c>
      <c r="G80" s="49">
        <v>0</v>
      </c>
      <c r="H80" s="6"/>
    </row>
    <row r="81" spans="1:8" x14ac:dyDescent="0.25">
      <c r="A81" s="4" t="s">
        <v>62</v>
      </c>
      <c r="B81" s="14" t="s">
        <v>209</v>
      </c>
      <c r="C81" s="135" t="s">
        <v>380</v>
      </c>
      <c r="D81" s="136"/>
      <c r="E81" s="14" t="s">
        <v>500</v>
      </c>
      <c r="F81" s="26">
        <v>11</v>
      </c>
      <c r="G81" s="49">
        <v>0</v>
      </c>
      <c r="H81" s="6"/>
    </row>
    <row r="82" spans="1:8" x14ac:dyDescent="0.25">
      <c r="A82" s="4" t="s">
        <v>63</v>
      </c>
      <c r="B82" s="14" t="s">
        <v>210</v>
      </c>
      <c r="C82" s="135" t="s">
        <v>381</v>
      </c>
      <c r="D82" s="136"/>
      <c r="E82" s="14" t="s">
        <v>500</v>
      </c>
      <c r="F82" s="26">
        <v>2</v>
      </c>
      <c r="G82" s="49">
        <v>0</v>
      </c>
      <c r="H82" s="6"/>
    </row>
    <row r="83" spans="1:8" x14ac:dyDescent="0.25">
      <c r="A83" s="4" t="s">
        <v>64</v>
      </c>
      <c r="B83" s="14" t="s">
        <v>211</v>
      </c>
      <c r="C83" s="135" t="s">
        <v>382</v>
      </c>
      <c r="D83" s="136"/>
      <c r="E83" s="14" t="s">
        <v>500</v>
      </c>
      <c r="F83" s="26">
        <v>2</v>
      </c>
      <c r="G83" s="49">
        <v>0</v>
      </c>
      <c r="H83" s="6"/>
    </row>
    <row r="84" spans="1:8" x14ac:dyDescent="0.25">
      <c r="A84" s="4" t="s">
        <v>65</v>
      </c>
      <c r="B84" s="14" t="s">
        <v>212</v>
      </c>
      <c r="C84" s="135" t="s">
        <v>383</v>
      </c>
      <c r="D84" s="136"/>
      <c r="E84" s="14" t="s">
        <v>500</v>
      </c>
      <c r="F84" s="26">
        <v>2</v>
      </c>
      <c r="G84" s="49">
        <v>0</v>
      </c>
      <c r="H84" s="6"/>
    </row>
    <row r="85" spans="1:8" x14ac:dyDescent="0.25">
      <c r="A85" s="4" t="s">
        <v>66</v>
      </c>
      <c r="B85" s="14" t="s">
        <v>213</v>
      </c>
      <c r="C85" s="135" t="s">
        <v>384</v>
      </c>
      <c r="D85" s="136"/>
      <c r="E85" s="14" t="s">
        <v>500</v>
      </c>
      <c r="F85" s="26">
        <v>3</v>
      </c>
      <c r="G85" s="49">
        <v>0</v>
      </c>
      <c r="H85" s="6"/>
    </row>
    <row r="86" spans="1:8" x14ac:dyDescent="0.25">
      <c r="A86" s="4" t="s">
        <v>67</v>
      </c>
      <c r="B86" s="14" t="s">
        <v>214</v>
      </c>
      <c r="C86" s="135" t="s">
        <v>385</v>
      </c>
      <c r="D86" s="136"/>
      <c r="E86" s="14" t="s">
        <v>500</v>
      </c>
      <c r="F86" s="26">
        <v>4</v>
      </c>
      <c r="G86" s="49">
        <v>0</v>
      </c>
      <c r="H86" s="6"/>
    </row>
    <row r="87" spans="1:8" x14ac:dyDescent="0.25">
      <c r="A87" s="4" t="s">
        <v>68</v>
      </c>
      <c r="B87" s="14" t="s">
        <v>215</v>
      </c>
      <c r="C87" s="135" t="s">
        <v>386</v>
      </c>
      <c r="D87" s="136"/>
      <c r="E87" s="14" t="s">
        <v>500</v>
      </c>
      <c r="F87" s="26">
        <v>1</v>
      </c>
      <c r="G87" s="49">
        <v>0</v>
      </c>
      <c r="H87" s="6"/>
    </row>
    <row r="88" spans="1:8" x14ac:dyDescent="0.25">
      <c r="A88" s="4" t="s">
        <v>69</v>
      </c>
      <c r="B88" s="14" t="s">
        <v>216</v>
      </c>
      <c r="C88" s="135" t="s">
        <v>387</v>
      </c>
      <c r="D88" s="136"/>
      <c r="E88" s="14" t="s">
        <v>500</v>
      </c>
      <c r="F88" s="26">
        <v>2</v>
      </c>
      <c r="G88" s="49">
        <v>0</v>
      </c>
      <c r="H88" s="6"/>
    </row>
    <row r="89" spans="1:8" x14ac:dyDescent="0.25">
      <c r="A89" s="4" t="s">
        <v>70</v>
      </c>
      <c r="B89" s="14" t="s">
        <v>217</v>
      </c>
      <c r="C89" s="135" t="s">
        <v>388</v>
      </c>
      <c r="D89" s="136"/>
      <c r="E89" s="14" t="s">
        <v>500</v>
      </c>
      <c r="F89" s="26">
        <v>2</v>
      </c>
      <c r="G89" s="49">
        <v>0</v>
      </c>
      <c r="H89" s="6"/>
    </row>
    <row r="90" spans="1:8" x14ac:dyDescent="0.25">
      <c r="A90" s="4" t="s">
        <v>71</v>
      </c>
      <c r="B90" s="14" t="s">
        <v>218</v>
      </c>
      <c r="C90" s="135" t="s">
        <v>389</v>
      </c>
      <c r="D90" s="136"/>
      <c r="E90" s="14" t="s">
        <v>500</v>
      </c>
      <c r="F90" s="26">
        <v>1</v>
      </c>
      <c r="G90" s="49">
        <v>0</v>
      </c>
      <c r="H90" s="6"/>
    </row>
    <row r="91" spans="1:8" x14ac:dyDescent="0.25">
      <c r="A91" s="4" t="s">
        <v>72</v>
      </c>
      <c r="B91" s="14" t="s">
        <v>219</v>
      </c>
      <c r="C91" s="135" t="s">
        <v>390</v>
      </c>
      <c r="D91" s="136"/>
      <c r="E91" s="14" t="s">
        <v>500</v>
      </c>
      <c r="F91" s="26">
        <v>2</v>
      </c>
      <c r="G91" s="49">
        <v>0</v>
      </c>
      <c r="H91" s="6"/>
    </row>
    <row r="92" spans="1:8" x14ac:dyDescent="0.25">
      <c r="A92" s="4" t="s">
        <v>73</v>
      </c>
      <c r="B92" s="14" t="s">
        <v>220</v>
      </c>
      <c r="C92" s="135" t="s">
        <v>391</v>
      </c>
      <c r="D92" s="136"/>
      <c r="E92" s="14" t="s">
        <v>500</v>
      </c>
      <c r="F92" s="26">
        <v>1</v>
      </c>
      <c r="G92" s="49">
        <v>0</v>
      </c>
      <c r="H92" s="6"/>
    </row>
    <row r="93" spans="1:8" x14ac:dyDescent="0.25">
      <c r="A93" s="4" t="s">
        <v>74</v>
      </c>
      <c r="B93" s="14" t="s">
        <v>221</v>
      </c>
      <c r="C93" s="135" t="s">
        <v>392</v>
      </c>
      <c r="D93" s="136"/>
      <c r="E93" s="14" t="s">
        <v>500</v>
      </c>
      <c r="F93" s="26">
        <v>2</v>
      </c>
      <c r="G93" s="49">
        <v>0</v>
      </c>
      <c r="H93" s="6"/>
    </row>
    <row r="94" spans="1:8" x14ac:dyDescent="0.25">
      <c r="A94" s="4" t="s">
        <v>75</v>
      </c>
      <c r="B94" s="14" t="s">
        <v>222</v>
      </c>
      <c r="C94" s="135" t="s">
        <v>393</v>
      </c>
      <c r="D94" s="136"/>
      <c r="E94" s="14" t="s">
        <v>500</v>
      </c>
      <c r="F94" s="26">
        <v>5</v>
      </c>
      <c r="G94" s="49">
        <v>0</v>
      </c>
      <c r="H94" s="6"/>
    </row>
    <row r="95" spans="1:8" x14ac:dyDescent="0.25">
      <c r="A95" s="4" t="s">
        <v>76</v>
      </c>
      <c r="B95" s="14" t="s">
        <v>223</v>
      </c>
      <c r="C95" s="135" t="s">
        <v>394</v>
      </c>
      <c r="D95" s="136"/>
      <c r="E95" s="14" t="s">
        <v>500</v>
      </c>
      <c r="F95" s="26">
        <v>3</v>
      </c>
      <c r="G95" s="49">
        <v>0</v>
      </c>
      <c r="H95" s="6"/>
    </row>
    <row r="96" spans="1:8" x14ac:dyDescent="0.25">
      <c r="A96" s="4" t="s">
        <v>77</v>
      </c>
      <c r="B96" s="14" t="s">
        <v>224</v>
      </c>
      <c r="C96" s="135" t="s">
        <v>395</v>
      </c>
      <c r="D96" s="136"/>
      <c r="E96" s="14" t="s">
        <v>500</v>
      </c>
      <c r="F96" s="26">
        <v>6</v>
      </c>
      <c r="G96" s="49">
        <v>0</v>
      </c>
      <c r="H96" s="6"/>
    </row>
    <row r="97" spans="1:8" x14ac:dyDescent="0.25">
      <c r="A97" s="4" t="s">
        <v>78</v>
      </c>
      <c r="B97" s="14" t="s">
        <v>225</v>
      </c>
      <c r="C97" s="135" t="s">
        <v>396</v>
      </c>
      <c r="D97" s="136"/>
      <c r="E97" s="14" t="s">
        <v>500</v>
      </c>
      <c r="F97" s="26">
        <v>24</v>
      </c>
      <c r="G97" s="49">
        <v>0</v>
      </c>
      <c r="H97" s="6"/>
    </row>
    <row r="98" spans="1:8" x14ac:dyDescent="0.25">
      <c r="A98" s="4" t="s">
        <v>79</v>
      </c>
      <c r="B98" s="14" t="s">
        <v>226</v>
      </c>
      <c r="C98" s="135" t="s">
        <v>397</v>
      </c>
      <c r="D98" s="136"/>
      <c r="E98" s="14" t="s">
        <v>500</v>
      </c>
      <c r="F98" s="26">
        <v>10</v>
      </c>
      <c r="G98" s="49">
        <v>0</v>
      </c>
      <c r="H98" s="6"/>
    </row>
    <row r="99" spans="1:8" x14ac:dyDescent="0.25">
      <c r="A99" s="4" t="s">
        <v>80</v>
      </c>
      <c r="B99" s="14" t="s">
        <v>227</v>
      </c>
      <c r="C99" s="135" t="s">
        <v>398</v>
      </c>
      <c r="D99" s="136"/>
      <c r="E99" s="14" t="s">
        <v>500</v>
      </c>
      <c r="F99" s="26">
        <v>4</v>
      </c>
      <c r="G99" s="49">
        <v>0</v>
      </c>
      <c r="H99" s="6"/>
    </row>
    <row r="100" spans="1:8" x14ac:dyDescent="0.25">
      <c r="A100" s="4" t="s">
        <v>81</v>
      </c>
      <c r="B100" s="14" t="s">
        <v>228</v>
      </c>
      <c r="C100" s="135" t="s">
        <v>399</v>
      </c>
      <c r="D100" s="136"/>
      <c r="E100" s="14" t="s">
        <v>500</v>
      </c>
      <c r="F100" s="26">
        <v>6</v>
      </c>
      <c r="G100" s="49">
        <v>0</v>
      </c>
      <c r="H100" s="6"/>
    </row>
    <row r="101" spans="1:8" x14ac:dyDescent="0.25">
      <c r="A101" s="4" t="s">
        <v>82</v>
      </c>
      <c r="B101" s="14" t="s">
        <v>229</v>
      </c>
      <c r="C101" s="135" t="s">
        <v>400</v>
      </c>
      <c r="D101" s="136"/>
      <c r="E101" s="14" t="s">
        <v>500</v>
      </c>
      <c r="F101" s="26">
        <v>6</v>
      </c>
      <c r="G101" s="49">
        <v>0</v>
      </c>
      <c r="H101" s="6"/>
    </row>
    <row r="102" spans="1:8" x14ac:dyDescent="0.25">
      <c r="A102" s="4" t="s">
        <v>83</v>
      </c>
      <c r="B102" s="14" t="s">
        <v>230</v>
      </c>
      <c r="C102" s="135" t="s">
        <v>401</v>
      </c>
      <c r="D102" s="136"/>
      <c r="E102" s="14" t="s">
        <v>500</v>
      </c>
      <c r="F102" s="26">
        <v>8</v>
      </c>
      <c r="G102" s="49">
        <v>0</v>
      </c>
      <c r="H102" s="6"/>
    </row>
    <row r="103" spans="1:8" x14ac:dyDescent="0.25">
      <c r="A103" s="4" t="s">
        <v>84</v>
      </c>
      <c r="B103" s="14" t="s">
        <v>230</v>
      </c>
      <c r="C103" s="135" t="s">
        <v>402</v>
      </c>
      <c r="D103" s="136"/>
      <c r="E103" s="14" t="s">
        <v>500</v>
      </c>
      <c r="F103" s="26">
        <v>4</v>
      </c>
      <c r="G103" s="49">
        <v>0</v>
      </c>
      <c r="H103" s="6"/>
    </row>
    <row r="104" spans="1:8" x14ac:dyDescent="0.25">
      <c r="A104" s="4" t="s">
        <v>85</v>
      </c>
      <c r="B104" s="14" t="s">
        <v>230</v>
      </c>
      <c r="C104" s="135" t="s">
        <v>403</v>
      </c>
      <c r="D104" s="136"/>
      <c r="E104" s="14" t="s">
        <v>500</v>
      </c>
      <c r="F104" s="26">
        <v>5</v>
      </c>
      <c r="G104" s="49">
        <v>0</v>
      </c>
      <c r="H104" s="6"/>
    </row>
    <row r="105" spans="1:8" x14ac:dyDescent="0.25">
      <c r="A105" s="4" t="s">
        <v>86</v>
      </c>
      <c r="B105" s="14" t="s">
        <v>230</v>
      </c>
      <c r="C105" s="135" t="s">
        <v>404</v>
      </c>
      <c r="D105" s="136"/>
      <c r="E105" s="14" t="s">
        <v>500</v>
      </c>
      <c r="F105" s="26">
        <v>7</v>
      </c>
      <c r="G105" s="49">
        <v>0</v>
      </c>
      <c r="H105" s="6"/>
    </row>
    <row r="106" spans="1:8" x14ac:dyDescent="0.25">
      <c r="A106" s="4" t="s">
        <v>87</v>
      </c>
      <c r="B106" s="14" t="s">
        <v>231</v>
      </c>
      <c r="C106" s="135" t="s">
        <v>405</v>
      </c>
      <c r="D106" s="136"/>
      <c r="E106" s="14" t="s">
        <v>500</v>
      </c>
      <c r="F106" s="26">
        <v>12</v>
      </c>
      <c r="G106" s="49">
        <v>0</v>
      </c>
      <c r="H106" s="6"/>
    </row>
    <row r="107" spans="1:8" x14ac:dyDescent="0.25">
      <c r="A107" s="66"/>
      <c r="B107" s="15" t="s">
        <v>232</v>
      </c>
      <c r="C107" s="137" t="s">
        <v>406</v>
      </c>
      <c r="D107" s="138"/>
      <c r="E107" s="15"/>
      <c r="F107" s="46"/>
      <c r="G107" s="77"/>
      <c r="H107" s="6"/>
    </row>
    <row r="108" spans="1:8" x14ac:dyDescent="0.25">
      <c r="A108" s="4" t="s">
        <v>88</v>
      </c>
      <c r="B108" s="14" t="s">
        <v>233</v>
      </c>
      <c r="C108" s="135" t="s">
        <v>407</v>
      </c>
      <c r="D108" s="136"/>
      <c r="E108" s="14" t="s">
        <v>500</v>
      </c>
      <c r="F108" s="26">
        <v>1</v>
      </c>
      <c r="G108" s="49">
        <v>0</v>
      </c>
      <c r="H108" s="6"/>
    </row>
    <row r="109" spans="1:8" x14ac:dyDescent="0.25">
      <c r="A109" s="7" t="s">
        <v>89</v>
      </c>
      <c r="B109" s="16" t="s">
        <v>234</v>
      </c>
      <c r="C109" s="139" t="s">
        <v>408</v>
      </c>
      <c r="D109" s="140"/>
      <c r="E109" s="16" t="s">
        <v>500</v>
      </c>
      <c r="F109" s="28">
        <v>1</v>
      </c>
      <c r="G109" s="51">
        <v>0</v>
      </c>
      <c r="H109" s="6"/>
    </row>
    <row r="110" spans="1:8" x14ac:dyDescent="0.25">
      <c r="A110" s="4" t="s">
        <v>90</v>
      </c>
      <c r="B110" s="14" t="s">
        <v>235</v>
      </c>
      <c r="C110" s="135" t="s">
        <v>409</v>
      </c>
      <c r="D110" s="136"/>
      <c r="E110" s="14" t="s">
        <v>500</v>
      </c>
      <c r="F110" s="26">
        <v>1</v>
      </c>
      <c r="G110" s="49">
        <v>0</v>
      </c>
      <c r="H110" s="6"/>
    </row>
    <row r="111" spans="1:8" x14ac:dyDescent="0.25">
      <c r="A111" s="66"/>
      <c r="B111" s="15" t="s">
        <v>236</v>
      </c>
      <c r="C111" s="137" t="s">
        <v>410</v>
      </c>
      <c r="D111" s="138"/>
      <c r="E111" s="15"/>
      <c r="F111" s="46"/>
      <c r="G111" s="77"/>
      <c r="H111" s="6"/>
    </row>
    <row r="112" spans="1:8" x14ac:dyDescent="0.25">
      <c r="A112" s="4" t="s">
        <v>91</v>
      </c>
      <c r="B112" s="14" t="s">
        <v>237</v>
      </c>
      <c r="C112" s="135" t="s">
        <v>411</v>
      </c>
      <c r="D112" s="136"/>
      <c r="E112" s="14" t="s">
        <v>502</v>
      </c>
      <c r="F112" s="26">
        <v>70</v>
      </c>
      <c r="G112" s="49">
        <v>0</v>
      </c>
      <c r="H112" s="6"/>
    </row>
    <row r="113" spans="1:8" x14ac:dyDescent="0.25">
      <c r="A113" s="66"/>
      <c r="B113" s="15" t="s">
        <v>238</v>
      </c>
      <c r="C113" s="137" t="s">
        <v>412</v>
      </c>
      <c r="D113" s="138"/>
      <c r="E113" s="15"/>
      <c r="F113" s="46"/>
      <c r="G113" s="77"/>
      <c r="H113" s="6"/>
    </row>
    <row r="114" spans="1:8" x14ac:dyDescent="0.25">
      <c r="A114" s="4" t="s">
        <v>92</v>
      </c>
      <c r="B114" s="14" t="s">
        <v>239</v>
      </c>
      <c r="C114" s="135" t="s">
        <v>413</v>
      </c>
      <c r="D114" s="136"/>
      <c r="E114" s="14" t="s">
        <v>501</v>
      </c>
      <c r="F114" s="26">
        <v>25</v>
      </c>
      <c r="G114" s="49">
        <v>0</v>
      </c>
      <c r="H114" s="6"/>
    </row>
    <row r="115" spans="1:8" x14ac:dyDescent="0.25">
      <c r="A115" s="4" t="s">
        <v>93</v>
      </c>
      <c r="B115" s="14" t="s">
        <v>240</v>
      </c>
      <c r="C115" s="135" t="s">
        <v>414</v>
      </c>
      <c r="D115" s="136"/>
      <c r="E115" s="14" t="s">
        <v>501</v>
      </c>
      <c r="F115" s="26">
        <v>69.81</v>
      </c>
      <c r="G115" s="49">
        <v>0</v>
      </c>
      <c r="H115" s="6"/>
    </row>
    <row r="116" spans="1:8" ht="12.15" customHeight="1" x14ac:dyDescent="0.25">
      <c r="A116" s="4"/>
      <c r="B116" s="14"/>
      <c r="C116" s="69" t="s">
        <v>415</v>
      </c>
      <c r="D116" s="153" t="s">
        <v>493</v>
      </c>
      <c r="E116" s="153"/>
      <c r="F116" s="72">
        <v>69.81</v>
      </c>
      <c r="G116" s="78"/>
      <c r="H116" s="6"/>
    </row>
    <row r="117" spans="1:8" x14ac:dyDescent="0.25">
      <c r="A117" s="4" t="s">
        <v>94</v>
      </c>
      <c r="B117" s="14" t="s">
        <v>241</v>
      </c>
      <c r="C117" s="135" t="s">
        <v>416</v>
      </c>
      <c r="D117" s="136"/>
      <c r="E117" s="14" t="s">
        <v>501</v>
      </c>
      <c r="F117" s="26">
        <v>69.81</v>
      </c>
      <c r="G117" s="49">
        <v>0</v>
      </c>
      <c r="H117" s="6"/>
    </row>
    <row r="118" spans="1:8" x14ac:dyDescent="0.25">
      <c r="A118" s="66"/>
      <c r="B118" s="15" t="s">
        <v>242</v>
      </c>
      <c r="C118" s="137" t="s">
        <v>417</v>
      </c>
      <c r="D118" s="138"/>
      <c r="E118" s="15"/>
      <c r="F118" s="46"/>
      <c r="G118" s="77"/>
      <c r="H118" s="6"/>
    </row>
    <row r="119" spans="1:8" x14ac:dyDescent="0.25">
      <c r="A119" s="4" t="s">
        <v>95</v>
      </c>
      <c r="B119" s="14" t="s">
        <v>243</v>
      </c>
      <c r="C119" s="135" t="s">
        <v>418</v>
      </c>
      <c r="D119" s="136"/>
      <c r="E119" s="14" t="s">
        <v>500</v>
      </c>
      <c r="F119" s="26">
        <v>1</v>
      </c>
      <c r="G119" s="49">
        <v>0</v>
      </c>
      <c r="H119" s="6"/>
    </row>
    <row r="120" spans="1:8" x14ac:dyDescent="0.25">
      <c r="A120" s="4" t="s">
        <v>96</v>
      </c>
      <c r="B120" s="14" t="s">
        <v>243</v>
      </c>
      <c r="C120" s="135" t="s">
        <v>419</v>
      </c>
      <c r="D120" s="136"/>
      <c r="E120" s="14" t="s">
        <v>500</v>
      </c>
      <c r="F120" s="26">
        <v>1</v>
      </c>
      <c r="G120" s="49">
        <v>0</v>
      </c>
      <c r="H120" s="6"/>
    </row>
    <row r="121" spans="1:8" x14ac:dyDescent="0.25">
      <c r="A121" s="66"/>
      <c r="B121" s="15" t="s">
        <v>102</v>
      </c>
      <c r="C121" s="137" t="s">
        <v>420</v>
      </c>
      <c r="D121" s="138"/>
      <c r="E121" s="15"/>
      <c r="F121" s="46"/>
      <c r="G121" s="77"/>
      <c r="H121" s="6"/>
    </row>
    <row r="122" spans="1:8" x14ac:dyDescent="0.25">
      <c r="A122" s="4" t="s">
        <v>97</v>
      </c>
      <c r="B122" s="14" t="s">
        <v>244</v>
      </c>
      <c r="C122" s="135" t="s">
        <v>421</v>
      </c>
      <c r="D122" s="136"/>
      <c r="E122" s="14" t="s">
        <v>505</v>
      </c>
      <c r="F122" s="26">
        <v>0.18</v>
      </c>
      <c r="G122" s="49">
        <v>0</v>
      </c>
      <c r="H122" s="6"/>
    </row>
    <row r="123" spans="1:8" ht="12.15" customHeight="1" x14ac:dyDescent="0.25">
      <c r="A123" s="4"/>
      <c r="B123" s="14"/>
      <c r="C123" s="69" t="s">
        <v>422</v>
      </c>
      <c r="D123" s="153"/>
      <c r="E123" s="153"/>
      <c r="F123" s="72">
        <v>0.18</v>
      </c>
      <c r="G123" s="78"/>
      <c r="H123" s="6"/>
    </row>
    <row r="124" spans="1:8" x14ac:dyDescent="0.25">
      <c r="A124" s="66"/>
      <c r="B124" s="15" t="s">
        <v>103</v>
      </c>
      <c r="C124" s="137" t="s">
        <v>423</v>
      </c>
      <c r="D124" s="138"/>
      <c r="E124" s="15"/>
      <c r="F124" s="46"/>
      <c r="G124" s="77"/>
      <c r="H124" s="6"/>
    </row>
    <row r="125" spans="1:8" x14ac:dyDescent="0.25">
      <c r="A125" s="4" t="s">
        <v>98</v>
      </c>
      <c r="B125" s="14" t="s">
        <v>245</v>
      </c>
      <c r="C125" s="135" t="s">
        <v>424</v>
      </c>
      <c r="D125" s="136"/>
      <c r="E125" s="14" t="s">
        <v>500</v>
      </c>
      <c r="F125" s="26">
        <v>1</v>
      </c>
      <c r="G125" s="49">
        <v>0</v>
      </c>
      <c r="H125" s="6"/>
    </row>
    <row r="126" spans="1:8" x14ac:dyDescent="0.25">
      <c r="A126" s="4" t="s">
        <v>99</v>
      </c>
      <c r="B126" s="14" t="s">
        <v>246</v>
      </c>
      <c r="C126" s="135" t="s">
        <v>425</v>
      </c>
      <c r="D126" s="136"/>
      <c r="E126" s="14" t="s">
        <v>500</v>
      </c>
      <c r="F126" s="26">
        <v>8</v>
      </c>
      <c r="G126" s="49">
        <v>0</v>
      </c>
      <c r="H126" s="6"/>
    </row>
    <row r="127" spans="1:8" x14ac:dyDescent="0.25">
      <c r="A127" s="66"/>
      <c r="B127" s="15" t="s">
        <v>247</v>
      </c>
      <c r="C127" s="137" t="s">
        <v>426</v>
      </c>
      <c r="D127" s="138"/>
      <c r="E127" s="15"/>
      <c r="F127" s="46"/>
      <c r="G127" s="77"/>
      <c r="H127" s="6"/>
    </row>
    <row r="128" spans="1:8" x14ac:dyDescent="0.25">
      <c r="A128" s="4" t="s">
        <v>100</v>
      </c>
      <c r="B128" s="14" t="s">
        <v>248</v>
      </c>
      <c r="C128" s="135" t="s">
        <v>427</v>
      </c>
      <c r="D128" s="136"/>
      <c r="E128" s="14" t="s">
        <v>506</v>
      </c>
      <c r="F128" s="26">
        <v>0.1</v>
      </c>
      <c r="G128" s="49">
        <v>0</v>
      </c>
      <c r="H128" s="6"/>
    </row>
    <row r="129" spans="1:8" x14ac:dyDescent="0.25">
      <c r="A129" s="66"/>
      <c r="B129" s="15" t="s">
        <v>249</v>
      </c>
      <c r="C129" s="137" t="s">
        <v>319</v>
      </c>
      <c r="D129" s="138"/>
      <c r="E129" s="15"/>
      <c r="F129" s="46"/>
      <c r="G129" s="77"/>
      <c r="H129" s="6"/>
    </row>
    <row r="130" spans="1:8" x14ac:dyDescent="0.25">
      <c r="A130" s="4" t="s">
        <v>101</v>
      </c>
      <c r="B130" s="14" t="s">
        <v>250</v>
      </c>
      <c r="C130" s="135" t="s">
        <v>428</v>
      </c>
      <c r="D130" s="136"/>
      <c r="E130" s="14" t="s">
        <v>506</v>
      </c>
      <c r="F130" s="26">
        <v>0.01</v>
      </c>
      <c r="G130" s="49">
        <v>0</v>
      </c>
      <c r="H130" s="6"/>
    </row>
    <row r="131" spans="1:8" x14ac:dyDescent="0.25">
      <c r="A131" s="4" t="s">
        <v>102</v>
      </c>
      <c r="B131" s="14" t="s">
        <v>251</v>
      </c>
      <c r="C131" s="135" t="s">
        <v>429</v>
      </c>
      <c r="D131" s="136"/>
      <c r="E131" s="14" t="s">
        <v>506</v>
      </c>
      <c r="F131" s="26">
        <v>0.01</v>
      </c>
      <c r="G131" s="49">
        <v>0</v>
      </c>
      <c r="H131" s="6"/>
    </row>
    <row r="132" spans="1:8" x14ac:dyDescent="0.25">
      <c r="A132" s="66"/>
      <c r="B132" s="15" t="s">
        <v>252</v>
      </c>
      <c r="C132" s="137" t="s">
        <v>335</v>
      </c>
      <c r="D132" s="138"/>
      <c r="E132" s="15"/>
      <c r="F132" s="46"/>
      <c r="G132" s="77"/>
      <c r="H132" s="6"/>
    </row>
    <row r="133" spans="1:8" x14ac:dyDescent="0.25">
      <c r="A133" s="4" t="s">
        <v>103</v>
      </c>
      <c r="B133" s="14" t="s">
        <v>253</v>
      </c>
      <c r="C133" s="135" t="s">
        <v>430</v>
      </c>
      <c r="D133" s="136"/>
      <c r="E133" s="14" t="s">
        <v>506</v>
      </c>
      <c r="F133" s="26">
        <v>1.6</v>
      </c>
      <c r="G133" s="49">
        <v>0</v>
      </c>
      <c r="H133" s="6"/>
    </row>
    <row r="134" spans="1:8" x14ac:dyDescent="0.25">
      <c r="A134" s="4" t="s">
        <v>104</v>
      </c>
      <c r="B134" s="14" t="s">
        <v>254</v>
      </c>
      <c r="C134" s="135" t="s">
        <v>431</v>
      </c>
      <c r="D134" s="136"/>
      <c r="E134" s="14" t="s">
        <v>506</v>
      </c>
      <c r="F134" s="26">
        <v>1.6</v>
      </c>
      <c r="G134" s="49">
        <v>0</v>
      </c>
      <c r="H134" s="6"/>
    </row>
    <row r="135" spans="1:8" x14ac:dyDescent="0.25">
      <c r="A135" s="66"/>
      <c r="B135" s="15" t="s">
        <v>255</v>
      </c>
      <c r="C135" s="137" t="s">
        <v>348</v>
      </c>
      <c r="D135" s="138"/>
      <c r="E135" s="15"/>
      <c r="F135" s="46"/>
      <c r="G135" s="77"/>
      <c r="H135" s="6"/>
    </row>
    <row r="136" spans="1:8" x14ac:dyDescent="0.25">
      <c r="A136" s="4" t="s">
        <v>105</v>
      </c>
      <c r="B136" s="14" t="s">
        <v>256</v>
      </c>
      <c r="C136" s="135" t="s">
        <v>432</v>
      </c>
      <c r="D136" s="136"/>
      <c r="E136" s="14" t="s">
        <v>506</v>
      </c>
      <c r="F136" s="26">
        <v>0.8</v>
      </c>
      <c r="G136" s="49">
        <v>0</v>
      </c>
      <c r="H136" s="6"/>
    </row>
    <row r="137" spans="1:8" x14ac:dyDescent="0.25">
      <c r="A137" s="4" t="s">
        <v>106</v>
      </c>
      <c r="B137" s="14" t="s">
        <v>257</v>
      </c>
      <c r="C137" s="135" t="s">
        <v>433</v>
      </c>
      <c r="D137" s="136"/>
      <c r="E137" s="14" t="s">
        <v>506</v>
      </c>
      <c r="F137" s="26">
        <v>0.8</v>
      </c>
      <c r="G137" s="49">
        <v>0</v>
      </c>
      <c r="H137" s="6"/>
    </row>
    <row r="138" spans="1:8" x14ac:dyDescent="0.25">
      <c r="A138" s="66"/>
      <c r="B138" s="15" t="s">
        <v>258</v>
      </c>
      <c r="C138" s="137" t="s">
        <v>356</v>
      </c>
      <c r="D138" s="138"/>
      <c r="E138" s="15"/>
      <c r="F138" s="46"/>
      <c r="G138" s="77"/>
      <c r="H138" s="6"/>
    </row>
    <row r="139" spans="1:8" x14ac:dyDescent="0.25">
      <c r="A139" s="4" t="s">
        <v>107</v>
      </c>
      <c r="B139" s="14" t="s">
        <v>259</v>
      </c>
      <c r="C139" s="135" t="s">
        <v>434</v>
      </c>
      <c r="D139" s="136"/>
      <c r="E139" s="14" t="s">
        <v>506</v>
      </c>
      <c r="F139" s="26">
        <v>0.7</v>
      </c>
      <c r="G139" s="49">
        <v>0</v>
      </c>
      <c r="H139" s="6"/>
    </row>
    <row r="140" spans="1:8" x14ac:dyDescent="0.25">
      <c r="A140" s="4" t="s">
        <v>108</v>
      </c>
      <c r="B140" s="14" t="s">
        <v>260</v>
      </c>
      <c r="C140" s="135" t="s">
        <v>435</v>
      </c>
      <c r="D140" s="136"/>
      <c r="E140" s="14" t="s">
        <v>506</v>
      </c>
      <c r="F140" s="26">
        <v>0.7</v>
      </c>
      <c r="G140" s="49">
        <v>0</v>
      </c>
      <c r="H140" s="6"/>
    </row>
    <row r="141" spans="1:8" x14ac:dyDescent="0.25">
      <c r="A141" s="66"/>
      <c r="B141" s="15" t="s">
        <v>261</v>
      </c>
      <c r="C141" s="137" t="s">
        <v>365</v>
      </c>
      <c r="D141" s="138"/>
      <c r="E141" s="15"/>
      <c r="F141" s="46"/>
      <c r="G141" s="77"/>
      <c r="H141" s="6"/>
    </row>
    <row r="142" spans="1:8" x14ac:dyDescent="0.25">
      <c r="A142" s="4" t="s">
        <v>109</v>
      </c>
      <c r="B142" s="14" t="s">
        <v>262</v>
      </c>
      <c r="C142" s="135" t="s">
        <v>436</v>
      </c>
      <c r="D142" s="136"/>
      <c r="E142" s="14" t="s">
        <v>506</v>
      </c>
      <c r="F142" s="26">
        <v>0.1</v>
      </c>
      <c r="G142" s="49">
        <v>0</v>
      </c>
      <c r="H142" s="6"/>
    </row>
    <row r="143" spans="1:8" x14ac:dyDescent="0.25">
      <c r="A143" s="4" t="s">
        <v>110</v>
      </c>
      <c r="B143" s="14" t="s">
        <v>263</v>
      </c>
      <c r="C143" s="135" t="s">
        <v>437</v>
      </c>
      <c r="D143" s="136"/>
      <c r="E143" s="14" t="s">
        <v>506</v>
      </c>
      <c r="F143" s="26">
        <v>0.1</v>
      </c>
      <c r="G143" s="49">
        <v>0</v>
      </c>
      <c r="H143" s="6"/>
    </row>
    <row r="144" spans="1:8" x14ac:dyDescent="0.25">
      <c r="A144" s="66"/>
      <c r="B144" s="15" t="s">
        <v>264</v>
      </c>
      <c r="C144" s="137" t="s">
        <v>438</v>
      </c>
      <c r="D144" s="138"/>
      <c r="E144" s="15"/>
      <c r="F144" s="46"/>
      <c r="G144" s="77"/>
      <c r="H144" s="6"/>
    </row>
    <row r="145" spans="1:8" x14ac:dyDescent="0.25">
      <c r="A145" s="4" t="s">
        <v>111</v>
      </c>
      <c r="B145" s="14" t="s">
        <v>265</v>
      </c>
      <c r="C145" s="135" t="s">
        <v>439</v>
      </c>
      <c r="D145" s="136"/>
      <c r="E145" s="14" t="s">
        <v>506</v>
      </c>
      <c r="F145" s="26">
        <v>0.12</v>
      </c>
      <c r="G145" s="49">
        <v>0</v>
      </c>
      <c r="H145" s="6"/>
    </row>
    <row r="146" spans="1:8" x14ac:dyDescent="0.25">
      <c r="A146" s="4" t="s">
        <v>112</v>
      </c>
      <c r="B146" s="14" t="s">
        <v>266</v>
      </c>
      <c r="C146" s="135" t="s">
        <v>440</v>
      </c>
      <c r="D146" s="136"/>
      <c r="E146" s="14" t="s">
        <v>506</v>
      </c>
      <c r="F146" s="26">
        <v>0.12</v>
      </c>
      <c r="G146" s="49">
        <v>0</v>
      </c>
      <c r="H146" s="6"/>
    </row>
    <row r="147" spans="1:8" x14ac:dyDescent="0.25">
      <c r="A147" s="66"/>
      <c r="B147" s="15" t="s">
        <v>267</v>
      </c>
      <c r="C147" s="137" t="s">
        <v>441</v>
      </c>
      <c r="D147" s="138"/>
      <c r="E147" s="15"/>
      <c r="F147" s="46"/>
      <c r="G147" s="77"/>
      <c r="H147" s="6"/>
    </row>
    <row r="148" spans="1:8" x14ac:dyDescent="0.25">
      <c r="A148" s="4" t="s">
        <v>113</v>
      </c>
      <c r="B148" s="14" t="s">
        <v>268</v>
      </c>
      <c r="C148" s="135" t="s">
        <v>442</v>
      </c>
      <c r="D148" s="136"/>
      <c r="E148" s="14" t="s">
        <v>507</v>
      </c>
      <c r="F148" s="26">
        <v>8</v>
      </c>
      <c r="G148" s="49">
        <v>0</v>
      </c>
      <c r="H148" s="6"/>
    </row>
    <row r="149" spans="1:8" x14ac:dyDescent="0.25">
      <c r="A149" s="4" t="s">
        <v>114</v>
      </c>
      <c r="B149" s="14" t="s">
        <v>269</v>
      </c>
      <c r="C149" s="135" t="s">
        <v>443</v>
      </c>
      <c r="D149" s="136"/>
      <c r="E149" s="14" t="s">
        <v>508</v>
      </c>
      <c r="F149" s="26">
        <v>8</v>
      </c>
      <c r="G149" s="49">
        <v>0</v>
      </c>
      <c r="H149" s="6"/>
    </row>
    <row r="150" spans="1:8" x14ac:dyDescent="0.25">
      <c r="A150" s="4" t="s">
        <v>115</v>
      </c>
      <c r="B150" s="14" t="s">
        <v>270</v>
      </c>
      <c r="C150" s="135" t="s">
        <v>444</v>
      </c>
      <c r="D150" s="136"/>
      <c r="E150" s="14" t="s">
        <v>506</v>
      </c>
      <c r="F150" s="26">
        <v>0.65</v>
      </c>
      <c r="G150" s="49">
        <v>0</v>
      </c>
      <c r="H150" s="6"/>
    </row>
    <row r="151" spans="1:8" x14ac:dyDescent="0.25">
      <c r="A151" s="66"/>
      <c r="B151" s="15" t="s">
        <v>271</v>
      </c>
      <c r="C151" s="137" t="s">
        <v>445</v>
      </c>
      <c r="D151" s="138"/>
      <c r="E151" s="15"/>
      <c r="F151" s="46"/>
      <c r="G151" s="77"/>
      <c r="H151" s="6"/>
    </row>
    <row r="152" spans="1:8" x14ac:dyDescent="0.25">
      <c r="A152" s="4" t="s">
        <v>116</v>
      </c>
      <c r="B152" s="14" t="s">
        <v>272</v>
      </c>
      <c r="C152" s="135" t="s">
        <v>446</v>
      </c>
      <c r="D152" s="136"/>
      <c r="E152" s="14" t="s">
        <v>500</v>
      </c>
      <c r="F152" s="26">
        <v>2</v>
      </c>
      <c r="G152" s="49">
        <v>0</v>
      </c>
      <c r="H152" s="6"/>
    </row>
    <row r="153" spans="1:8" x14ac:dyDescent="0.25">
      <c r="A153" s="4" t="s">
        <v>117</v>
      </c>
      <c r="B153" s="14" t="s">
        <v>175</v>
      </c>
      <c r="C153" s="135" t="s">
        <v>447</v>
      </c>
      <c r="D153" s="136"/>
      <c r="E153" s="14" t="s">
        <v>500</v>
      </c>
      <c r="F153" s="26">
        <v>1</v>
      </c>
      <c r="G153" s="49">
        <v>0</v>
      </c>
      <c r="H153" s="6"/>
    </row>
    <row r="154" spans="1:8" x14ac:dyDescent="0.25">
      <c r="A154" s="4" t="s">
        <v>118</v>
      </c>
      <c r="B154" s="14" t="s">
        <v>273</v>
      </c>
      <c r="C154" s="135" t="s">
        <v>448</v>
      </c>
      <c r="D154" s="136"/>
      <c r="E154" s="14" t="s">
        <v>500</v>
      </c>
      <c r="F154" s="26">
        <v>1</v>
      </c>
      <c r="G154" s="49">
        <v>0</v>
      </c>
      <c r="H154" s="6"/>
    </row>
    <row r="155" spans="1:8" x14ac:dyDescent="0.25">
      <c r="A155" s="4" t="s">
        <v>119</v>
      </c>
      <c r="B155" s="14" t="s">
        <v>274</v>
      </c>
      <c r="C155" s="135" t="s">
        <v>449</v>
      </c>
      <c r="D155" s="136"/>
      <c r="E155" s="14" t="s">
        <v>500</v>
      </c>
      <c r="F155" s="26">
        <v>1</v>
      </c>
      <c r="G155" s="49">
        <v>0</v>
      </c>
      <c r="H155" s="6"/>
    </row>
    <row r="156" spans="1:8" x14ac:dyDescent="0.25">
      <c r="A156" s="66"/>
      <c r="B156" s="15" t="s">
        <v>275</v>
      </c>
      <c r="C156" s="137" t="s">
        <v>450</v>
      </c>
      <c r="D156" s="138"/>
      <c r="E156" s="15"/>
      <c r="F156" s="46"/>
      <c r="G156" s="77"/>
      <c r="H156" s="6"/>
    </row>
    <row r="157" spans="1:8" x14ac:dyDescent="0.25">
      <c r="A157" s="4" t="s">
        <v>120</v>
      </c>
      <c r="B157" s="14" t="s">
        <v>276</v>
      </c>
      <c r="C157" s="135" t="s">
        <v>451</v>
      </c>
      <c r="D157" s="136"/>
      <c r="E157" s="14" t="s">
        <v>500</v>
      </c>
      <c r="F157" s="26">
        <v>1</v>
      </c>
      <c r="G157" s="49">
        <v>0</v>
      </c>
      <c r="H157" s="6"/>
    </row>
    <row r="158" spans="1:8" x14ac:dyDescent="0.25">
      <c r="A158" s="4" t="s">
        <v>121</v>
      </c>
      <c r="B158" s="14" t="s">
        <v>277</v>
      </c>
      <c r="C158" s="135" t="s">
        <v>452</v>
      </c>
      <c r="D158" s="136"/>
      <c r="E158" s="14" t="s">
        <v>500</v>
      </c>
      <c r="F158" s="26">
        <v>8</v>
      </c>
      <c r="G158" s="49">
        <v>0</v>
      </c>
      <c r="H158" s="6"/>
    </row>
    <row r="159" spans="1:8" x14ac:dyDescent="0.25">
      <c r="A159" s="4" t="s">
        <v>122</v>
      </c>
      <c r="B159" s="14" t="s">
        <v>278</v>
      </c>
      <c r="C159" s="135" t="s">
        <v>453</v>
      </c>
      <c r="D159" s="136"/>
      <c r="E159" s="14" t="s">
        <v>500</v>
      </c>
      <c r="F159" s="26">
        <v>1</v>
      </c>
      <c r="G159" s="49">
        <v>0</v>
      </c>
      <c r="H159" s="6"/>
    </row>
    <row r="160" spans="1:8" x14ac:dyDescent="0.25">
      <c r="A160" s="4" t="s">
        <v>123</v>
      </c>
      <c r="B160" s="14" t="s">
        <v>279</v>
      </c>
      <c r="C160" s="135" t="s">
        <v>454</v>
      </c>
      <c r="D160" s="136"/>
      <c r="E160" s="14" t="s">
        <v>500</v>
      </c>
      <c r="F160" s="26">
        <v>1</v>
      </c>
      <c r="G160" s="49">
        <v>0</v>
      </c>
      <c r="H160" s="6"/>
    </row>
    <row r="161" spans="1:8" x14ac:dyDescent="0.25">
      <c r="A161" s="4" t="s">
        <v>124</v>
      </c>
      <c r="B161" s="14" t="s">
        <v>280</v>
      </c>
      <c r="C161" s="135" t="s">
        <v>455</v>
      </c>
      <c r="D161" s="136"/>
      <c r="E161" s="14" t="s">
        <v>500</v>
      </c>
      <c r="F161" s="26">
        <v>5</v>
      </c>
      <c r="G161" s="49">
        <v>0</v>
      </c>
      <c r="H161" s="6"/>
    </row>
    <row r="162" spans="1:8" x14ac:dyDescent="0.25">
      <c r="A162" s="4" t="s">
        <v>125</v>
      </c>
      <c r="B162" s="14" t="s">
        <v>277</v>
      </c>
      <c r="C162" s="135" t="s">
        <v>456</v>
      </c>
      <c r="D162" s="136"/>
      <c r="E162" s="14" t="s">
        <v>500</v>
      </c>
      <c r="F162" s="26">
        <v>5</v>
      </c>
      <c r="G162" s="49">
        <v>0</v>
      </c>
      <c r="H162" s="6"/>
    </row>
    <row r="163" spans="1:8" x14ac:dyDescent="0.25">
      <c r="A163" s="4" t="s">
        <v>126</v>
      </c>
      <c r="B163" s="14" t="s">
        <v>281</v>
      </c>
      <c r="C163" s="135" t="s">
        <v>457</v>
      </c>
      <c r="D163" s="136"/>
      <c r="E163" s="14" t="s">
        <v>502</v>
      </c>
      <c r="F163" s="26">
        <v>6</v>
      </c>
      <c r="G163" s="49">
        <v>0</v>
      </c>
      <c r="H163" s="6"/>
    </row>
    <row r="164" spans="1:8" x14ac:dyDescent="0.25">
      <c r="A164" s="4" t="s">
        <v>127</v>
      </c>
      <c r="B164" s="14" t="s">
        <v>282</v>
      </c>
      <c r="C164" s="135" t="s">
        <v>458</v>
      </c>
      <c r="D164" s="136"/>
      <c r="E164" s="14" t="s">
        <v>502</v>
      </c>
      <c r="F164" s="26">
        <v>30</v>
      </c>
      <c r="G164" s="49">
        <v>0</v>
      </c>
      <c r="H164" s="6"/>
    </row>
    <row r="165" spans="1:8" x14ac:dyDescent="0.25">
      <c r="A165" s="4" t="s">
        <v>128</v>
      </c>
      <c r="B165" s="14" t="s">
        <v>283</v>
      </c>
      <c r="C165" s="135" t="s">
        <v>459</v>
      </c>
      <c r="D165" s="136"/>
      <c r="E165" s="14" t="s">
        <v>502</v>
      </c>
      <c r="F165" s="26">
        <v>80</v>
      </c>
      <c r="G165" s="49">
        <v>0</v>
      </c>
      <c r="H165" s="6"/>
    </row>
    <row r="166" spans="1:8" x14ac:dyDescent="0.25">
      <c r="A166" s="4" t="s">
        <v>129</v>
      </c>
      <c r="B166" s="14" t="s">
        <v>284</v>
      </c>
      <c r="C166" s="135" t="s">
        <v>460</v>
      </c>
      <c r="D166" s="136"/>
      <c r="E166" s="14" t="s">
        <v>500</v>
      </c>
      <c r="F166" s="26">
        <v>1</v>
      </c>
      <c r="G166" s="49">
        <v>0</v>
      </c>
      <c r="H166" s="6"/>
    </row>
    <row r="167" spans="1:8" x14ac:dyDescent="0.25">
      <c r="A167" s="4" t="s">
        <v>130</v>
      </c>
      <c r="B167" s="14" t="s">
        <v>285</v>
      </c>
      <c r="C167" s="135" t="s">
        <v>461</v>
      </c>
      <c r="D167" s="136"/>
      <c r="E167" s="14" t="s">
        <v>500</v>
      </c>
      <c r="F167" s="26">
        <v>1</v>
      </c>
      <c r="G167" s="49">
        <v>0</v>
      </c>
      <c r="H167" s="6"/>
    </row>
    <row r="168" spans="1:8" x14ac:dyDescent="0.25">
      <c r="A168" s="4" t="s">
        <v>131</v>
      </c>
      <c r="B168" s="14" t="s">
        <v>286</v>
      </c>
      <c r="C168" s="135" t="s">
        <v>462</v>
      </c>
      <c r="D168" s="136"/>
      <c r="E168" s="14" t="s">
        <v>500</v>
      </c>
      <c r="F168" s="26">
        <v>1</v>
      </c>
      <c r="G168" s="49">
        <v>0</v>
      </c>
      <c r="H168" s="6"/>
    </row>
    <row r="169" spans="1:8" x14ac:dyDescent="0.25">
      <c r="A169" s="4" t="s">
        <v>132</v>
      </c>
      <c r="B169" s="14" t="s">
        <v>287</v>
      </c>
      <c r="C169" s="135" t="s">
        <v>463</v>
      </c>
      <c r="D169" s="136"/>
      <c r="E169" s="14" t="s">
        <v>502</v>
      </c>
      <c r="F169" s="26">
        <v>30</v>
      </c>
      <c r="G169" s="49">
        <v>0</v>
      </c>
      <c r="H169" s="6"/>
    </row>
    <row r="170" spans="1:8" x14ac:dyDescent="0.25">
      <c r="A170" s="4" t="s">
        <v>133</v>
      </c>
      <c r="B170" s="14" t="s">
        <v>288</v>
      </c>
      <c r="C170" s="135" t="s">
        <v>464</v>
      </c>
      <c r="D170" s="136"/>
      <c r="E170" s="14" t="s">
        <v>500</v>
      </c>
      <c r="F170" s="26">
        <v>15</v>
      </c>
      <c r="G170" s="49">
        <v>0</v>
      </c>
      <c r="H170" s="6"/>
    </row>
    <row r="171" spans="1:8" x14ac:dyDescent="0.25">
      <c r="A171" s="66"/>
      <c r="B171" s="15" t="s">
        <v>289</v>
      </c>
      <c r="C171" s="137" t="s">
        <v>465</v>
      </c>
      <c r="D171" s="138"/>
      <c r="E171" s="15"/>
      <c r="F171" s="46"/>
      <c r="G171" s="77"/>
      <c r="H171" s="6"/>
    </row>
    <row r="172" spans="1:8" x14ac:dyDescent="0.25">
      <c r="A172" s="4" t="s">
        <v>134</v>
      </c>
      <c r="B172" s="14" t="s">
        <v>290</v>
      </c>
      <c r="C172" s="135" t="s">
        <v>466</v>
      </c>
      <c r="D172" s="136"/>
      <c r="E172" s="14" t="s">
        <v>502</v>
      </c>
      <c r="F172" s="26">
        <v>5</v>
      </c>
      <c r="G172" s="49">
        <v>0</v>
      </c>
      <c r="H172" s="6"/>
    </row>
    <row r="173" spans="1:8" x14ac:dyDescent="0.25">
      <c r="A173" s="4" t="s">
        <v>135</v>
      </c>
      <c r="B173" s="14" t="s">
        <v>291</v>
      </c>
      <c r="C173" s="135" t="s">
        <v>467</v>
      </c>
      <c r="D173" s="136"/>
      <c r="E173" s="14" t="s">
        <v>500</v>
      </c>
      <c r="F173" s="26">
        <v>4</v>
      </c>
      <c r="G173" s="49">
        <v>0</v>
      </c>
      <c r="H173" s="6"/>
    </row>
    <row r="174" spans="1:8" x14ac:dyDescent="0.25">
      <c r="A174" s="4" t="s">
        <v>136</v>
      </c>
      <c r="B174" s="14" t="s">
        <v>292</v>
      </c>
      <c r="C174" s="135" t="s">
        <v>468</v>
      </c>
      <c r="D174" s="136"/>
      <c r="E174" s="14" t="s">
        <v>500</v>
      </c>
      <c r="F174" s="26">
        <v>2</v>
      </c>
      <c r="G174" s="49">
        <v>0</v>
      </c>
      <c r="H174" s="6"/>
    </row>
    <row r="175" spans="1:8" x14ac:dyDescent="0.25">
      <c r="A175" s="4" t="s">
        <v>137</v>
      </c>
      <c r="B175" s="14" t="s">
        <v>293</v>
      </c>
      <c r="C175" s="135" t="s">
        <v>469</v>
      </c>
      <c r="D175" s="136"/>
      <c r="E175" s="14" t="s">
        <v>500</v>
      </c>
      <c r="F175" s="26">
        <v>2</v>
      </c>
      <c r="G175" s="49">
        <v>0</v>
      </c>
      <c r="H175" s="6"/>
    </row>
    <row r="176" spans="1:8" x14ac:dyDescent="0.25">
      <c r="A176" s="4" t="s">
        <v>138</v>
      </c>
      <c r="B176" s="14" t="s">
        <v>294</v>
      </c>
      <c r="C176" s="135" t="s">
        <v>470</v>
      </c>
      <c r="D176" s="136"/>
      <c r="E176" s="14" t="s">
        <v>500</v>
      </c>
      <c r="F176" s="26">
        <v>1</v>
      </c>
      <c r="G176" s="49">
        <v>0</v>
      </c>
      <c r="H176" s="6"/>
    </row>
    <row r="177" spans="1:8" x14ac:dyDescent="0.25">
      <c r="A177" s="66"/>
      <c r="B177" s="15" t="s">
        <v>295</v>
      </c>
      <c r="C177" s="137" t="s">
        <v>471</v>
      </c>
      <c r="D177" s="138"/>
      <c r="E177" s="15"/>
      <c r="F177" s="46"/>
      <c r="G177" s="77"/>
      <c r="H177" s="6"/>
    </row>
    <row r="178" spans="1:8" x14ac:dyDescent="0.25">
      <c r="A178" s="4" t="s">
        <v>139</v>
      </c>
      <c r="B178" s="14" t="s">
        <v>296</v>
      </c>
      <c r="C178" s="135" t="s">
        <v>472</v>
      </c>
      <c r="D178" s="136"/>
      <c r="E178" s="14" t="s">
        <v>504</v>
      </c>
      <c r="F178" s="26">
        <v>1</v>
      </c>
      <c r="G178" s="49">
        <v>0</v>
      </c>
      <c r="H178" s="6"/>
    </row>
    <row r="179" spans="1:8" x14ac:dyDescent="0.25">
      <c r="A179" s="4" t="s">
        <v>140</v>
      </c>
      <c r="B179" s="14" t="s">
        <v>297</v>
      </c>
      <c r="C179" s="135" t="s">
        <v>473</v>
      </c>
      <c r="D179" s="136"/>
      <c r="E179" s="14" t="s">
        <v>504</v>
      </c>
      <c r="F179" s="26">
        <v>2</v>
      </c>
      <c r="G179" s="49">
        <v>0</v>
      </c>
      <c r="H179" s="6"/>
    </row>
    <row r="180" spans="1:8" x14ac:dyDescent="0.25">
      <c r="A180" s="4" t="s">
        <v>141</v>
      </c>
      <c r="B180" s="14" t="s">
        <v>298</v>
      </c>
      <c r="C180" s="135" t="s">
        <v>474</v>
      </c>
      <c r="D180" s="136"/>
      <c r="E180" s="14" t="s">
        <v>504</v>
      </c>
      <c r="F180" s="26">
        <v>1</v>
      </c>
      <c r="G180" s="49">
        <v>0</v>
      </c>
      <c r="H180" s="6"/>
    </row>
    <row r="181" spans="1:8" x14ac:dyDescent="0.25">
      <c r="A181" s="4" t="s">
        <v>142</v>
      </c>
      <c r="B181" s="14" t="s">
        <v>299</v>
      </c>
      <c r="C181" s="135" t="s">
        <v>475</v>
      </c>
      <c r="D181" s="136"/>
      <c r="E181" s="14" t="s">
        <v>504</v>
      </c>
      <c r="F181" s="26">
        <v>1</v>
      </c>
      <c r="G181" s="49">
        <v>0</v>
      </c>
      <c r="H181" s="6"/>
    </row>
    <row r="182" spans="1:8" x14ac:dyDescent="0.25">
      <c r="A182" s="4" t="s">
        <v>143</v>
      </c>
      <c r="B182" s="14" t="s">
        <v>300</v>
      </c>
      <c r="C182" s="135" t="s">
        <v>476</v>
      </c>
      <c r="D182" s="136"/>
      <c r="E182" s="14" t="s">
        <v>504</v>
      </c>
      <c r="F182" s="26">
        <v>1</v>
      </c>
      <c r="G182" s="49">
        <v>0</v>
      </c>
      <c r="H182" s="6"/>
    </row>
    <row r="183" spans="1:8" x14ac:dyDescent="0.25">
      <c r="A183" s="66"/>
      <c r="B183" s="15" t="s">
        <v>301</v>
      </c>
      <c r="C183" s="137" t="s">
        <v>477</v>
      </c>
      <c r="D183" s="138"/>
      <c r="E183" s="15"/>
      <c r="F183" s="46"/>
      <c r="G183" s="77"/>
      <c r="H183" s="6"/>
    </row>
    <row r="184" spans="1:8" x14ac:dyDescent="0.25">
      <c r="A184" s="4" t="s">
        <v>144</v>
      </c>
      <c r="B184" s="14" t="s">
        <v>302</v>
      </c>
      <c r="C184" s="135" t="s">
        <v>478</v>
      </c>
      <c r="D184" s="136"/>
      <c r="E184" s="14" t="s">
        <v>506</v>
      </c>
      <c r="F184" s="26">
        <v>0.5</v>
      </c>
      <c r="G184" s="49">
        <v>0</v>
      </c>
      <c r="H184" s="6"/>
    </row>
    <row r="185" spans="1:8" x14ac:dyDescent="0.25">
      <c r="A185" s="4" t="s">
        <v>145</v>
      </c>
      <c r="B185" s="14" t="s">
        <v>303</v>
      </c>
      <c r="C185" s="135" t="s">
        <v>479</v>
      </c>
      <c r="D185" s="136"/>
      <c r="E185" s="14" t="s">
        <v>506</v>
      </c>
      <c r="F185" s="26">
        <v>0.5</v>
      </c>
      <c r="G185" s="49">
        <v>0</v>
      </c>
      <c r="H185" s="6"/>
    </row>
    <row r="186" spans="1:8" x14ac:dyDescent="0.25">
      <c r="A186" s="4" t="s">
        <v>146</v>
      </c>
      <c r="B186" s="14" t="s">
        <v>304</v>
      </c>
      <c r="C186" s="135" t="s">
        <v>480</v>
      </c>
      <c r="D186" s="136"/>
      <c r="E186" s="14" t="s">
        <v>506</v>
      </c>
      <c r="F186" s="26">
        <v>1.5</v>
      </c>
      <c r="G186" s="49">
        <v>0</v>
      </c>
      <c r="H186" s="6"/>
    </row>
    <row r="187" spans="1:8" ht="12.15" customHeight="1" x14ac:dyDescent="0.25">
      <c r="A187" s="67"/>
      <c r="B187" s="68"/>
      <c r="C187" s="70" t="s">
        <v>481</v>
      </c>
      <c r="D187" s="154" t="s">
        <v>494</v>
      </c>
      <c r="E187" s="154"/>
      <c r="F187" s="74">
        <v>1.5</v>
      </c>
      <c r="G187" s="80"/>
      <c r="H187" s="6"/>
    </row>
    <row r="188" spans="1:8" x14ac:dyDescent="0.25">
      <c r="A188" s="9"/>
      <c r="B188" s="9"/>
      <c r="C188" s="9"/>
      <c r="D188" s="9"/>
      <c r="E188" s="9"/>
      <c r="F188" s="9"/>
      <c r="G188" s="9"/>
    </row>
    <row r="189" spans="1:8" ht="11.25" customHeight="1" x14ac:dyDescent="0.25">
      <c r="A189" s="10" t="s">
        <v>147</v>
      </c>
    </row>
    <row r="190" spans="1:8" x14ac:dyDescent="0.25">
      <c r="A190" s="118"/>
      <c r="B190" s="110"/>
      <c r="C190" s="110"/>
      <c r="D190" s="110"/>
      <c r="E190" s="110"/>
      <c r="F190" s="110"/>
      <c r="G190" s="110"/>
      <c r="H190" s="110"/>
    </row>
  </sheetData>
  <mergeCells count="196">
    <mergeCell ref="C184:D184"/>
    <mergeCell ref="C185:D185"/>
    <mergeCell ref="C186:D186"/>
    <mergeCell ref="D187:E187"/>
    <mergeCell ref="A190:H190"/>
    <mergeCell ref="C178:D178"/>
    <mergeCell ref="C179:D179"/>
    <mergeCell ref="C180:D180"/>
    <mergeCell ref="C181:D181"/>
    <mergeCell ref="C182:D182"/>
    <mergeCell ref="C183:D183"/>
    <mergeCell ref="C172:D172"/>
    <mergeCell ref="C173:D173"/>
    <mergeCell ref="C174:D174"/>
    <mergeCell ref="C175:D175"/>
    <mergeCell ref="C176:D176"/>
    <mergeCell ref="C177:D177"/>
    <mergeCell ref="C166:D166"/>
    <mergeCell ref="C167:D167"/>
    <mergeCell ref="C168:D168"/>
    <mergeCell ref="C169:D169"/>
    <mergeCell ref="C170:D170"/>
    <mergeCell ref="C171:D171"/>
    <mergeCell ref="C160:D160"/>
    <mergeCell ref="C161:D161"/>
    <mergeCell ref="C162:D162"/>
    <mergeCell ref="C163:D163"/>
    <mergeCell ref="C164:D164"/>
    <mergeCell ref="C165:D165"/>
    <mergeCell ref="C154:D154"/>
    <mergeCell ref="C155:D155"/>
    <mergeCell ref="C156:D156"/>
    <mergeCell ref="C157:D157"/>
    <mergeCell ref="C158:D158"/>
    <mergeCell ref="C159:D159"/>
    <mergeCell ref="C148:D148"/>
    <mergeCell ref="C149:D149"/>
    <mergeCell ref="C150:D150"/>
    <mergeCell ref="C151:D151"/>
    <mergeCell ref="C152:D152"/>
    <mergeCell ref="C153:D153"/>
    <mergeCell ref="C142:D142"/>
    <mergeCell ref="C143:D143"/>
    <mergeCell ref="C144:D144"/>
    <mergeCell ref="C145:D145"/>
    <mergeCell ref="C146:D146"/>
    <mergeCell ref="C147:D147"/>
    <mergeCell ref="C136:D136"/>
    <mergeCell ref="C137:D137"/>
    <mergeCell ref="C138:D138"/>
    <mergeCell ref="C139:D139"/>
    <mergeCell ref="C140:D140"/>
    <mergeCell ref="C141:D141"/>
    <mergeCell ref="C130:D130"/>
    <mergeCell ref="C131:D131"/>
    <mergeCell ref="C132:D132"/>
    <mergeCell ref="C133:D133"/>
    <mergeCell ref="C134:D134"/>
    <mergeCell ref="C135:D135"/>
    <mergeCell ref="C124:D124"/>
    <mergeCell ref="C125:D125"/>
    <mergeCell ref="C126:D126"/>
    <mergeCell ref="C127:D127"/>
    <mergeCell ref="C128:D128"/>
    <mergeCell ref="C129:D129"/>
    <mergeCell ref="C118:D118"/>
    <mergeCell ref="C119:D119"/>
    <mergeCell ref="C120:D120"/>
    <mergeCell ref="C121:D121"/>
    <mergeCell ref="C122:D122"/>
    <mergeCell ref="D123:E123"/>
    <mergeCell ref="C112:D112"/>
    <mergeCell ref="C113:D113"/>
    <mergeCell ref="C114:D114"/>
    <mergeCell ref="C115:D115"/>
    <mergeCell ref="D116:E116"/>
    <mergeCell ref="C117:D117"/>
    <mergeCell ref="C106:D106"/>
    <mergeCell ref="C107:D107"/>
    <mergeCell ref="C108:D108"/>
    <mergeCell ref="C109:D109"/>
    <mergeCell ref="C110:D110"/>
    <mergeCell ref="C111:D111"/>
    <mergeCell ref="C100:D100"/>
    <mergeCell ref="C101:D101"/>
    <mergeCell ref="C102:D102"/>
    <mergeCell ref="C103:D103"/>
    <mergeCell ref="C104:D104"/>
    <mergeCell ref="C105:D105"/>
    <mergeCell ref="C94:D94"/>
    <mergeCell ref="C95:D95"/>
    <mergeCell ref="C96:D96"/>
    <mergeCell ref="C97:D97"/>
    <mergeCell ref="C98:D98"/>
    <mergeCell ref="C99:D99"/>
    <mergeCell ref="C88:D88"/>
    <mergeCell ref="C89:D89"/>
    <mergeCell ref="C90:D90"/>
    <mergeCell ref="C91:D91"/>
    <mergeCell ref="C92:D92"/>
    <mergeCell ref="C93:D93"/>
    <mergeCell ref="C82:D82"/>
    <mergeCell ref="C83:D83"/>
    <mergeCell ref="C84:D84"/>
    <mergeCell ref="C85:D85"/>
    <mergeCell ref="C86:D86"/>
    <mergeCell ref="C87:D87"/>
    <mergeCell ref="C76:D76"/>
    <mergeCell ref="C77:D77"/>
    <mergeCell ref="C78:D78"/>
    <mergeCell ref="C79:D79"/>
    <mergeCell ref="C80:D80"/>
    <mergeCell ref="C81:D81"/>
    <mergeCell ref="C70:D70"/>
    <mergeCell ref="C71:D71"/>
    <mergeCell ref="C72:D72"/>
    <mergeCell ref="C73:D73"/>
    <mergeCell ref="C74:D74"/>
    <mergeCell ref="C75:D75"/>
    <mergeCell ref="C64:D64"/>
    <mergeCell ref="C65:D65"/>
    <mergeCell ref="C66:D66"/>
    <mergeCell ref="C67:D67"/>
    <mergeCell ref="C68:D68"/>
    <mergeCell ref="C69:D69"/>
    <mergeCell ref="C58:D58"/>
    <mergeCell ref="C59:D59"/>
    <mergeCell ref="C60:D60"/>
    <mergeCell ref="C61:D61"/>
    <mergeCell ref="C62:D62"/>
    <mergeCell ref="C63:D63"/>
    <mergeCell ref="C52:D52"/>
    <mergeCell ref="C53:D53"/>
    <mergeCell ref="C54:D54"/>
    <mergeCell ref="D55:E55"/>
    <mergeCell ref="C56:D56"/>
    <mergeCell ref="C57:D57"/>
    <mergeCell ref="C46:D46"/>
    <mergeCell ref="C47:D47"/>
    <mergeCell ref="C48:D48"/>
    <mergeCell ref="C49:D49"/>
    <mergeCell ref="C50:D50"/>
    <mergeCell ref="C51:D51"/>
    <mergeCell ref="C40:D40"/>
    <mergeCell ref="D41:E41"/>
    <mergeCell ref="C42:D42"/>
    <mergeCell ref="D43:E43"/>
    <mergeCell ref="C44:D44"/>
    <mergeCell ref="C45:D45"/>
    <mergeCell ref="C34:D34"/>
    <mergeCell ref="C35:D35"/>
    <mergeCell ref="C36:D36"/>
    <mergeCell ref="C37:D37"/>
    <mergeCell ref="C38:D38"/>
    <mergeCell ref="C39:D39"/>
    <mergeCell ref="C28:D28"/>
    <mergeCell ref="C29:D29"/>
    <mergeCell ref="C30:D30"/>
    <mergeCell ref="C31:D31"/>
    <mergeCell ref="C32:D32"/>
    <mergeCell ref="C33:D33"/>
    <mergeCell ref="C22:D22"/>
    <mergeCell ref="C23:D23"/>
    <mergeCell ref="C24:D24"/>
    <mergeCell ref="C25:D25"/>
    <mergeCell ref="C26:D26"/>
    <mergeCell ref="C27:D27"/>
    <mergeCell ref="C16:D16"/>
    <mergeCell ref="C17:D17"/>
    <mergeCell ref="C18:D18"/>
    <mergeCell ref="D19:E19"/>
    <mergeCell ref="C20:D20"/>
    <mergeCell ref="C21:D21"/>
    <mergeCell ref="C10:D10"/>
    <mergeCell ref="C11:D11"/>
    <mergeCell ref="C12:D12"/>
    <mergeCell ref="C13:D13"/>
    <mergeCell ref="C14:D14"/>
    <mergeCell ref="C15:D15"/>
    <mergeCell ref="A6:A7"/>
    <mergeCell ref="B6:C7"/>
    <mergeCell ref="D6:D7"/>
    <mergeCell ref="E6:G7"/>
    <mergeCell ref="A8:A9"/>
    <mergeCell ref="B8:C9"/>
    <mergeCell ref="D8:D9"/>
    <mergeCell ref="E8:G9"/>
    <mergeCell ref="A1:G1"/>
    <mergeCell ref="A2:A3"/>
    <mergeCell ref="B2:C3"/>
    <mergeCell ref="D2:D3"/>
    <mergeCell ref="E2:G3"/>
    <mergeCell ref="A4:A5"/>
    <mergeCell ref="B4:C5"/>
    <mergeCell ref="D4:D5"/>
    <mergeCell ref="E4:G5"/>
  </mergeCells>
  <pageMargins left="0.39400000000000002" right="0.39400000000000002" top="0.59099999999999997" bottom="0.59099999999999997" header="0.5" footer="0.5"/>
  <pageSetup paperSize="0" fitToHeight="0" orientation="landscape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tabSelected="1" workbookViewId="0">
      <selection activeCell="C1" sqref="C1:I1"/>
    </sheetView>
  </sheetViews>
  <sheetFormatPr defaultColWidth="11.5546875" defaultRowHeight="13.2" x14ac:dyDescent="0.25"/>
  <cols>
    <col min="1" max="1" width="9.109375" customWidth="1"/>
    <col min="2" max="2" width="12.88671875" customWidth="1"/>
    <col min="3" max="3" width="22.88671875" customWidth="1"/>
    <col min="4" max="4" width="10" customWidth="1"/>
    <col min="5" max="5" width="14" customWidth="1"/>
    <col min="6" max="6" width="22.88671875" customWidth="1"/>
    <col min="7" max="7" width="9.109375" customWidth="1"/>
    <col min="8" max="8" width="12.88671875" customWidth="1"/>
    <col min="9" max="9" width="22.88671875" customWidth="1"/>
  </cols>
  <sheetData>
    <row r="1" spans="1:10" ht="73.05" customHeight="1" x14ac:dyDescent="0.25">
      <c r="A1" s="104"/>
      <c r="B1" s="17"/>
      <c r="C1" s="155" t="s">
        <v>599</v>
      </c>
      <c r="D1" s="106"/>
      <c r="E1" s="106"/>
      <c r="F1" s="106"/>
      <c r="G1" s="106"/>
      <c r="H1" s="106"/>
      <c r="I1" s="106"/>
    </row>
    <row r="2" spans="1:10" x14ac:dyDescent="0.25">
      <c r="A2" s="107" t="s">
        <v>1</v>
      </c>
      <c r="B2" s="108"/>
      <c r="C2" s="111" t="str">
        <f>'Stavební rozpočet'!C2</f>
        <v>Výměna zdroje tepla v budově Obecního úřadu Doubrava č.p. 599</v>
      </c>
      <c r="D2" s="142"/>
      <c r="E2" s="114" t="s">
        <v>489</v>
      </c>
      <c r="F2" s="114" t="str">
        <f>'Stavební rozpočet'!G2</f>
        <v>Obec Doubrava, Doubrava 599, 735 33 Doubrava</v>
      </c>
      <c r="G2" s="108"/>
      <c r="H2" s="114" t="s">
        <v>624</v>
      </c>
      <c r="I2" s="156"/>
      <c r="J2" s="6"/>
    </row>
    <row r="3" spans="1:10" x14ac:dyDescent="0.25">
      <c r="A3" s="109"/>
      <c r="B3" s="110"/>
      <c r="C3" s="112"/>
      <c r="D3" s="112"/>
      <c r="E3" s="110"/>
      <c r="F3" s="110"/>
      <c r="G3" s="110"/>
      <c r="H3" s="110"/>
      <c r="I3" s="116"/>
      <c r="J3" s="6"/>
    </row>
    <row r="4" spans="1:10" x14ac:dyDescent="0.25">
      <c r="A4" s="117" t="s">
        <v>2</v>
      </c>
      <c r="B4" s="110"/>
      <c r="C4" s="118" t="str">
        <f>'Stavební rozpočet'!C4</f>
        <v>účelová-ostatní</v>
      </c>
      <c r="D4" s="110"/>
      <c r="E4" s="118" t="s">
        <v>490</v>
      </c>
      <c r="F4" s="118" t="str">
        <f>'Stavební rozpočet'!G4</f>
        <v>Ing. Stanislav Wilczek</v>
      </c>
      <c r="G4" s="110"/>
      <c r="H4" s="118" t="s">
        <v>624</v>
      </c>
      <c r="I4" s="157"/>
      <c r="J4" s="6"/>
    </row>
    <row r="5" spans="1:10" x14ac:dyDescent="0.25">
      <c r="A5" s="109"/>
      <c r="B5" s="110"/>
      <c r="C5" s="110"/>
      <c r="D5" s="110"/>
      <c r="E5" s="110"/>
      <c r="F5" s="110"/>
      <c r="G5" s="110"/>
      <c r="H5" s="110"/>
      <c r="I5" s="116"/>
      <c r="J5" s="6"/>
    </row>
    <row r="6" spans="1:10" x14ac:dyDescent="0.25">
      <c r="A6" s="117" t="s">
        <v>3</v>
      </c>
      <c r="B6" s="110"/>
      <c r="C6" s="118" t="str">
        <f>'Stavební rozpočet'!C6</f>
        <v>Budova OÚ, Doubrava 599,  735 33 Doubrava</v>
      </c>
      <c r="D6" s="110"/>
      <c r="E6" s="118" t="s">
        <v>491</v>
      </c>
      <c r="F6" s="118" t="str">
        <f>'Stavební rozpočet'!G6</f>
        <v> </v>
      </c>
      <c r="G6" s="110"/>
      <c r="H6" s="118" t="s">
        <v>624</v>
      </c>
      <c r="I6" s="157"/>
      <c r="J6" s="6"/>
    </row>
    <row r="7" spans="1:10" x14ac:dyDescent="0.25">
      <c r="A7" s="109"/>
      <c r="B7" s="110"/>
      <c r="C7" s="110"/>
      <c r="D7" s="110"/>
      <c r="E7" s="110"/>
      <c r="F7" s="110"/>
      <c r="G7" s="110"/>
      <c r="H7" s="110"/>
      <c r="I7" s="116"/>
      <c r="J7" s="6"/>
    </row>
    <row r="8" spans="1:10" x14ac:dyDescent="0.25">
      <c r="A8" s="117" t="s">
        <v>483</v>
      </c>
      <c r="B8" s="110"/>
      <c r="C8" s="118" t="str">
        <f>'Stavební rozpočet'!E4</f>
        <v xml:space="preserve"> </v>
      </c>
      <c r="D8" s="110"/>
      <c r="E8" s="118" t="s">
        <v>484</v>
      </c>
      <c r="F8" s="118"/>
      <c r="G8" s="110"/>
      <c r="H8" s="119" t="s">
        <v>625</v>
      </c>
      <c r="I8" s="157" t="s">
        <v>146</v>
      </c>
      <c r="J8" s="6"/>
    </row>
    <row r="9" spans="1:10" x14ac:dyDescent="0.25">
      <c r="A9" s="109"/>
      <c r="B9" s="110"/>
      <c r="C9" s="110"/>
      <c r="D9" s="110"/>
      <c r="E9" s="110"/>
      <c r="F9" s="110"/>
      <c r="G9" s="110"/>
      <c r="H9" s="110"/>
      <c r="I9" s="116"/>
      <c r="J9" s="6"/>
    </row>
    <row r="10" spans="1:10" x14ac:dyDescent="0.25">
      <c r="A10" s="117" t="s">
        <v>4</v>
      </c>
      <c r="B10" s="110"/>
      <c r="C10" s="118" t="str">
        <f>'Stavební rozpočet'!C8</f>
        <v xml:space="preserve"> </v>
      </c>
      <c r="D10" s="110"/>
      <c r="E10" s="118" t="s">
        <v>492</v>
      </c>
      <c r="F10" s="118" t="str">
        <f>'Stavební rozpočet'!G8</f>
        <v>Ing. Stanislav Wilczek</v>
      </c>
      <c r="G10" s="110"/>
      <c r="H10" s="119" t="s">
        <v>626</v>
      </c>
      <c r="I10" s="144" t="str">
        <f>'Stavební rozpočet'!E8</f>
        <v>15.10.2021</v>
      </c>
      <c r="J10" s="6"/>
    </row>
    <row r="11" spans="1:10" x14ac:dyDescent="0.25">
      <c r="A11" s="158"/>
      <c r="B11" s="151"/>
      <c r="C11" s="151"/>
      <c r="D11" s="151"/>
      <c r="E11" s="151"/>
      <c r="F11" s="151"/>
      <c r="G11" s="151"/>
      <c r="H11" s="151"/>
      <c r="I11" s="159"/>
      <c r="J11" s="6"/>
    </row>
    <row r="12" spans="1:10" ht="23.4" customHeight="1" x14ac:dyDescent="0.25">
      <c r="A12" s="160" t="s">
        <v>584</v>
      </c>
      <c r="B12" s="161"/>
      <c r="C12" s="161"/>
      <c r="D12" s="161"/>
      <c r="E12" s="161"/>
      <c r="F12" s="161"/>
      <c r="G12" s="161"/>
      <c r="H12" s="161"/>
      <c r="I12" s="161"/>
    </row>
    <row r="13" spans="1:10" ht="26.4" customHeight="1" x14ac:dyDescent="0.25">
      <c r="A13" s="81" t="s">
        <v>585</v>
      </c>
      <c r="B13" s="162" t="s">
        <v>597</v>
      </c>
      <c r="C13" s="163"/>
      <c r="D13" s="81" t="s">
        <v>600</v>
      </c>
      <c r="E13" s="162" t="s">
        <v>609</v>
      </c>
      <c r="F13" s="163"/>
      <c r="G13" s="81" t="s">
        <v>610</v>
      </c>
      <c r="H13" s="162" t="s">
        <v>627</v>
      </c>
      <c r="I13" s="163"/>
      <c r="J13" s="6"/>
    </row>
    <row r="14" spans="1:10" ht="15.15" customHeight="1" x14ac:dyDescent="0.25">
      <c r="A14" s="82" t="s">
        <v>586</v>
      </c>
      <c r="B14" s="86" t="s">
        <v>598</v>
      </c>
      <c r="C14" s="89">
        <f>SUM('Stavební rozpočet'!AB12:AB188)</f>
        <v>0</v>
      </c>
      <c r="D14" s="164" t="s">
        <v>601</v>
      </c>
      <c r="E14" s="165"/>
      <c r="F14" s="89">
        <f>VORN!I15</f>
        <v>0</v>
      </c>
      <c r="G14" s="164" t="s">
        <v>611</v>
      </c>
      <c r="H14" s="165"/>
      <c r="I14" s="89">
        <f>VORN!I21</f>
        <v>0</v>
      </c>
      <c r="J14" s="6"/>
    </row>
    <row r="15" spans="1:10" ht="15.15" customHeight="1" x14ac:dyDescent="0.25">
      <c r="A15" s="83"/>
      <c r="B15" s="86" t="s">
        <v>515</v>
      </c>
      <c r="C15" s="89">
        <f>SUM('Stavební rozpočet'!AC12:AC188)</f>
        <v>0</v>
      </c>
      <c r="D15" s="164" t="s">
        <v>602</v>
      </c>
      <c r="E15" s="165"/>
      <c r="F15" s="89">
        <f>VORN!I16</f>
        <v>0</v>
      </c>
      <c r="G15" s="164" t="s">
        <v>612</v>
      </c>
      <c r="H15" s="165"/>
      <c r="I15" s="89">
        <f>VORN!I22</f>
        <v>0</v>
      </c>
      <c r="J15" s="6"/>
    </row>
    <row r="16" spans="1:10" ht="15.15" customHeight="1" x14ac:dyDescent="0.25">
      <c r="A16" s="82" t="s">
        <v>587</v>
      </c>
      <c r="B16" s="86" t="s">
        <v>598</v>
      </c>
      <c r="C16" s="89">
        <f>SUM('Stavební rozpočet'!AD12:AD188)</f>
        <v>0</v>
      </c>
      <c r="D16" s="164" t="s">
        <v>603</v>
      </c>
      <c r="E16" s="165"/>
      <c r="F16" s="89">
        <f>VORN!I17</f>
        <v>0</v>
      </c>
      <c r="G16" s="164" t="s">
        <v>613</v>
      </c>
      <c r="H16" s="165"/>
      <c r="I16" s="89">
        <f>VORN!I23</f>
        <v>0</v>
      </c>
      <c r="J16" s="6"/>
    </row>
    <row r="17" spans="1:10" ht="15.15" customHeight="1" x14ac:dyDescent="0.25">
      <c r="A17" s="83"/>
      <c r="B17" s="86" t="s">
        <v>515</v>
      </c>
      <c r="C17" s="89">
        <f>SUM('Stavební rozpočet'!AE12:AE188)</f>
        <v>0</v>
      </c>
      <c r="D17" s="164"/>
      <c r="E17" s="165"/>
      <c r="F17" s="90"/>
      <c r="G17" s="164" t="s">
        <v>614</v>
      </c>
      <c r="H17" s="165"/>
      <c r="I17" s="89">
        <f>VORN!I24</f>
        <v>0</v>
      </c>
      <c r="J17" s="6"/>
    </row>
    <row r="18" spans="1:10" ht="15.15" customHeight="1" x14ac:dyDescent="0.25">
      <c r="A18" s="82" t="s">
        <v>588</v>
      </c>
      <c r="B18" s="86" t="s">
        <v>598</v>
      </c>
      <c r="C18" s="89">
        <f>SUM('Stavební rozpočet'!AF12:AF188)</f>
        <v>0</v>
      </c>
      <c r="D18" s="164"/>
      <c r="E18" s="165"/>
      <c r="F18" s="90"/>
      <c r="G18" s="164" t="s">
        <v>615</v>
      </c>
      <c r="H18" s="165"/>
      <c r="I18" s="89">
        <f>VORN!I25</f>
        <v>0</v>
      </c>
      <c r="J18" s="6"/>
    </row>
    <row r="19" spans="1:10" ht="15.15" customHeight="1" x14ac:dyDescent="0.25">
      <c r="A19" s="83"/>
      <c r="B19" s="86" t="s">
        <v>515</v>
      </c>
      <c r="C19" s="89">
        <f>SUM('Stavební rozpočet'!AG12:AG188)</f>
        <v>0</v>
      </c>
      <c r="D19" s="164"/>
      <c r="E19" s="165"/>
      <c r="F19" s="90"/>
      <c r="G19" s="164" t="s">
        <v>616</v>
      </c>
      <c r="H19" s="165"/>
      <c r="I19" s="89">
        <f>VORN!I26</f>
        <v>0</v>
      </c>
      <c r="J19" s="6"/>
    </row>
    <row r="20" spans="1:10" ht="15.15" customHeight="1" x14ac:dyDescent="0.25">
      <c r="A20" s="166" t="s">
        <v>589</v>
      </c>
      <c r="B20" s="167"/>
      <c r="C20" s="89">
        <f>SUM('Stavební rozpočet'!AH12:AH188)</f>
        <v>0</v>
      </c>
      <c r="D20" s="164"/>
      <c r="E20" s="165"/>
      <c r="F20" s="90"/>
      <c r="G20" s="164"/>
      <c r="H20" s="165"/>
      <c r="I20" s="90"/>
      <c r="J20" s="6"/>
    </row>
    <row r="21" spans="1:10" ht="15.15" customHeight="1" x14ac:dyDescent="0.25">
      <c r="A21" s="166" t="s">
        <v>590</v>
      </c>
      <c r="B21" s="167"/>
      <c r="C21" s="89">
        <f>SUM('Stavební rozpočet'!Z12:Z188)</f>
        <v>0</v>
      </c>
      <c r="D21" s="164"/>
      <c r="E21" s="165"/>
      <c r="F21" s="90"/>
      <c r="G21" s="164"/>
      <c r="H21" s="165"/>
      <c r="I21" s="90"/>
      <c r="J21" s="6"/>
    </row>
    <row r="22" spans="1:10" ht="16.649999999999999" customHeight="1" x14ac:dyDescent="0.25">
      <c r="A22" s="166" t="s">
        <v>591</v>
      </c>
      <c r="B22" s="167"/>
      <c r="C22" s="89">
        <f>ROUND(SUM(C14:C21),0)</f>
        <v>0</v>
      </c>
      <c r="D22" s="166" t="s">
        <v>604</v>
      </c>
      <c r="E22" s="167"/>
      <c r="F22" s="89">
        <f>SUM(F14:F21)</f>
        <v>0</v>
      </c>
      <c r="G22" s="166" t="s">
        <v>617</v>
      </c>
      <c r="H22" s="167"/>
      <c r="I22" s="89">
        <f>SUM(I14:I21)</f>
        <v>0</v>
      </c>
      <c r="J22" s="6"/>
    </row>
    <row r="23" spans="1:10" ht="15.15" customHeight="1" x14ac:dyDescent="0.25">
      <c r="A23" s="9"/>
      <c r="B23" s="9"/>
      <c r="C23" s="88"/>
      <c r="D23" s="166" t="s">
        <v>605</v>
      </c>
      <c r="E23" s="167"/>
      <c r="F23" s="91">
        <v>0</v>
      </c>
      <c r="G23" s="166" t="s">
        <v>618</v>
      </c>
      <c r="H23" s="167"/>
      <c r="I23" s="89">
        <v>0</v>
      </c>
      <c r="J23" s="6"/>
    </row>
    <row r="24" spans="1:10" ht="15.15" customHeight="1" x14ac:dyDescent="0.25">
      <c r="D24" s="9"/>
      <c r="E24" s="9"/>
      <c r="F24" s="92"/>
      <c r="G24" s="166" t="s">
        <v>619</v>
      </c>
      <c r="H24" s="167"/>
      <c r="I24" s="89">
        <f>vorn_sum</f>
        <v>0</v>
      </c>
      <c r="J24" s="6"/>
    </row>
    <row r="25" spans="1:10" ht="15.15" customHeight="1" x14ac:dyDescent="0.25">
      <c r="F25" s="38"/>
      <c r="G25" s="166" t="s">
        <v>620</v>
      </c>
      <c r="H25" s="167"/>
      <c r="I25" s="89">
        <v>0</v>
      </c>
      <c r="J25" s="6"/>
    </row>
    <row r="26" spans="1:10" x14ac:dyDescent="0.25">
      <c r="A26" s="17"/>
      <c r="B26" s="17"/>
      <c r="C26" s="17"/>
      <c r="G26" s="9"/>
      <c r="H26" s="9"/>
      <c r="I26" s="9"/>
    </row>
    <row r="27" spans="1:10" ht="15.15" customHeight="1" x14ac:dyDescent="0.25">
      <c r="A27" s="168" t="s">
        <v>592</v>
      </c>
      <c r="B27" s="169"/>
      <c r="C27" s="93">
        <f>ROUND(SUM('Stavební rozpočet'!AJ12:AJ188),0)</f>
        <v>0</v>
      </c>
      <c r="D27" s="8"/>
      <c r="E27" s="17"/>
      <c r="F27" s="17"/>
      <c r="G27" s="17"/>
      <c r="H27" s="17"/>
      <c r="I27" s="17"/>
    </row>
    <row r="28" spans="1:10" ht="15.15" customHeight="1" x14ac:dyDescent="0.25">
      <c r="A28" s="168" t="s">
        <v>593</v>
      </c>
      <c r="B28" s="169"/>
      <c r="C28" s="93">
        <f>ROUND(SUM('Stavební rozpočet'!AK12:AK188),0)</f>
        <v>0</v>
      </c>
      <c r="D28" s="168" t="s">
        <v>606</v>
      </c>
      <c r="E28" s="169"/>
      <c r="F28" s="93">
        <f>ROUND(C28*(15/100),2)</f>
        <v>0</v>
      </c>
      <c r="G28" s="168" t="s">
        <v>621</v>
      </c>
      <c r="H28" s="169"/>
      <c r="I28" s="93">
        <f>ROUND(SUM(C27:C29),0)</f>
        <v>0</v>
      </c>
      <c r="J28" s="6"/>
    </row>
    <row r="29" spans="1:10" ht="15.15" customHeight="1" x14ac:dyDescent="0.25">
      <c r="A29" s="168" t="s">
        <v>594</v>
      </c>
      <c r="B29" s="169"/>
      <c r="C29" s="93">
        <f>ROUND(SUM('Stavební rozpočet'!AL12:AL188)+(F22+I22+F23+I23+I24+I25),0)</f>
        <v>0</v>
      </c>
      <c r="D29" s="168" t="s">
        <v>607</v>
      </c>
      <c r="E29" s="169"/>
      <c r="F29" s="93">
        <f>ROUND(C29*(21/100),2)</f>
        <v>0</v>
      </c>
      <c r="G29" s="168" t="s">
        <v>622</v>
      </c>
      <c r="H29" s="169"/>
      <c r="I29" s="93">
        <f>ROUND(SUM(F28:F29)+I28,0)</f>
        <v>0</v>
      </c>
      <c r="J29" s="6"/>
    </row>
    <row r="30" spans="1:10" x14ac:dyDescent="0.25">
      <c r="A30" s="84"/>
      <c r="B30" s="84"/>
      <c r="C30" s="84"/>
      <c r="D30" s="84"/>
      <c r="E30" s="84"/>
      <c r="F30" s="84"/>
      <c r="G30" s="84"/>
      <c r="H30" s="84"/>
      <c r="I30" s="84"/>
    </row>
    <row r="31" spans="1:10" ht="14.4" customHeight="1" x14ac:dyDescent="0.25">
      <c r="A31" s="170" t="s">
        <v>595</v>
      </c>
      <c r="B31" s="171"/>
      <c r="C31" s="172"/>
      <c r="D31" s="170" t="s">
        <v>608</v>
      </c>
      <c r="E31" s="171"/>
      <c r="F31" s="172"/>
      <c r="G31" s="170" t="s">
        <v>623</v>
      </c>
      <c r="H31" s="171"/>
      <c r="I31" s="172"/>
      <c r="J31" s="57"/>
    </row>
    <row r="32" spans="1:10" ht="14.4" customHeight="1" x14ac:dyDescent="0.25">
      <c r="A32" s="173"/>
      <c r="B32" s="174"/>
      <c r="C32" s="175"/>
      <c r="D32" s="173"/>
      <c r="E32" s="174"/>
      <c r="F32" s="175"/>
      <c r="G32" s="173"/>
      <c r="H32" s="174"/>
      <c r="I32" s="175"/>
      <c r="J32" s="57"/>
    </row>
    <row r="33" spans="1:10" ht="14.4" customHeight="1" x14ac:dyDescent="0.25">
      <c r="A33" s="173"/>
      <c r="B33" s="174"/>
      <c r="C33" s="175"/>
      <c r="D33" s="173"/>
      <c r="E33" s="174"/>
      <c r="F33" s="175"/>
      <c r="G33" s="173"/>
      <c r="H33" s="174"/>
      <c r="I33" s="175"/>
      <c r="J33" s="57"/>
    </row>
    <row r="34" spans="1:10" ht="14.4" customHeight="1" x14ac:dyDescent="0.25">
      <c r="A34" s="173"/>
      <c r="B34" s="174"/>
      <c r="C34" s="175"/>
      <c r="D34" s="173"/>
      <c r="E34" s="174"/>
      <c r="F34" s="175"/>
      <c r="G34" s="173"/>
      <c r="H34" s="174"/>
      <c r="I34" s="175"/>
      <c r="J34" s="57"/>
    </row>
    <row r="35" spans="1:10" ht="14.4" customHeight="1" x14ac:dyDescent="0.25">
      <c r="A35" s="176" t="s">
        <v>596</v>
      </c>
      <c r="B35" s="177"/>
      <c r="C35" s="178"/>
      <c r="D35" s="176" t="s">
        <v>596</v>
      </c>
      <c r="E35" s="177"/>
      <c r="F35" s="178"/>
      <c r="G35" s="176" t="s">
        <v>596</v>
      </c>
      <c r="H35" s="177"/>
      <c r="I35" s="178"/>
      <c r="J35" s="57"/>
    </row>
    <row r="36" spans="1:10" ht="11.25" customHeight="1" x14ac:dyDescent="0.25">
      <c r="A36" s="85" t="s">
        <v>147</v>
      </c>
      <c r="B36" s="87"/>
      <c r="C36" s="87"/>
      <c r="D36" s="87"/>
      <c r="E36" s="87"/>
      <c r="F36" s="87"/>
      <c r="G36" s="87"/>
      <c r="H36" s="87"/>
      <c r="I36" s="87"/>
    </row>
    <row r="37" spans="1:10" x14ac:dyDescent="0.25">
      <c r="A37" s="118"/>
      <c r="B37" s="110"/>
      <c r="C37" s="110"/>
      <c r="D37" s="110"/>
      <c r="E37" s="110"/>
      <c r="F37" s="110"/>
      <c r="G37" s="110"/>
      <c r="H37" s="110"/>
      <c r="I37" s="110"/>
    </row>
  </sheetData>
  <mergeCells count="83">
    <mergeCell ref="A37:I37"/>
    <mergeCell ref="A34:C34"/>
    <mergeCell ref="D34:F34"/>
    <mergeCell ref="G34:I34"/>
    <mergeCell ref="A35:C35"/>
    <mergeCell ref="D35:F35"/>
    <mergeCell ref="G35:I35"/>
    <mergeCell ref="A32:C32"/>
    <mergeCell ref="D32:F32"/>
    <mergeCell ref="G32:I32"/>
    <mergeCell ref="A33:C33"/>
    <mergeCell ref="D33:F33"/>
    <mergeCell ref="G33:I33"/>
    <mergeCell ref="A29:B29"/>
    <mergeCell ref="D29:E29"/>
    <mergeCell ref="G29:H29"/>
    <mergeCell ref="A31:C31"/>
    <mergeCell ref="D31:F31"/>
    <mergeCell ref="G31:I31"/>
    <mergeCell ref="D23:E23"/>
    <mergeCell ref="G23:H23"/>
    <mergeCell ref="G24:H24"/>
    <mergeCell ref="G25:H25"/>
    <mergeCell ref="A27:B27"/>
    <mergeCell ref="A28:B28"/>
    <mergeCell ref="D28:E28"/>
    <mergeCell ref="G28:H28"/>
    <mergeCell ref="A21:B21"/>
    <mergeCell ref="D21:E21"/>
    <mergeCell ref="G21:H21"/>
    <mergeCell ref="A22:B22"/>
    <mergeCell ref="D22:E22"/>
    <mergeCell ref="G22:H22"/>
    <mergeCell ref="D18:E18"/>
    <mergeCell ref="G18:H18"/>
    <mergeCell ref="D19:E19"/>
    <mergeCell ref="G19:H19"/>
    <mergeCell ref="A20:B20"/>
    <mergeCell ref="D20:E20"/>
    <mergeCell ref="G20:H20"/>
    <mergeCell ref="D15:E15"/>
    <mergeCell ref="G15:H15"/>
    <mergeCell ref="D16:E16"/>
    <mergeCell ref="G16:H16"/>
    <mergeCell ref="D17:E17"/>
    <mergeCell ref="G17:H17"/>
    <mergeCell ref="A12:I12"/>
    <mergeCell ref="B13:C13"/>
    <mergeCell ref="E13:F13"/>
    <mergeCell ref="H13:I13"/>
    <mergeCell ref="D14:E14"/>
    <mergeCell ref="G14:H14"/>
    <mergeCell ref="A10:B11"/>
    <mergeCell ref="C10:D11"/>
    <mergeCell ref="E10:E11"/>
    <mergeCell ref="F10:G11"/>
    <mergeCell ref="H10:H11"/>
    <mergeCell ref="I10:I11"/>
    <mergeCell ref="A8:B9"/>
    <mergeCell ref="C8:D9"/>
    <mergeCell ref="E8:E9"/>
    <mergeCell ref="F8:G9"/>
    <mergeCell ref="H8:H9"/>
    <mergeCell ref="I8:I9"/>
    <mergeCell ref="A6:B7"/>
    <mergeCell ref="C6:D7"/>
    <mergeCell ref="E6:E7"/>
    <mergeCell ref="F6:G7"/>
    <mergeCell ref="H6:H7"/>
    <mergeCell ref="I6:I7"/>
    <mergeCell ref="A4:B5"/>
    <mergeCell ref="C4:D5"/>
    <mergeCell ref="E4:E5"/>
    <mergeCell ref="F4:G5"/>
    <mergeCell ref="H4:H5"/>
    <mergeCell ref="I4:I5"/>
    <mergeCell ref="C1:I1"/>
    <mergeCell ref="A2:B3"/>
    <mergeCell ref="C2:D3"/>
    <mergeCell ref="E2:E3"/>
    <mergeCell ref="F2:G3"/>
    <mergeCell ref="H2:H3"/>
    <mergeCell ref="I2:I3"/>
  </mergeCells>
  <pageMargins left="0.39400000000000002" right="0.39400000000000002" top="0.59099999999999997" bottom="0.59099999999999997" header="0.5" footer="0.5"/>
  <pageSetup paperSize="0" orientation="landscape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workbookViewId="0"/>
  </sheetViews>
  <sheetFormatPr defaultColWidth="11.5546875" defaultRowHeight="13.2" x14ac:dyDescent="0.25"/>
  <cols>
    <col min="1" max="1" width="9.109375" customWidth="1"/>
    <col min="2" max="2" width="12.88671875" customWidth="1"/>
    <col min="3" max="3" width="22.88671875" customWidth="1"/>
    <col min="4" max="4" width="10" customWidth="1"/>
    <col min="5" max="5" width="14" customWidth="1"/>
    <col min="6" max="6" width="22.88671875" customWidth="1"/>
    <col min="7" max="7" width="9.109375" customWidth="1"/>
    <col min="8" max="8" width="17.109375" customWidth="1"/>
    <col min="9" max="9" width="22.88671875" customWidth="1"/>
  </cols>
  <sheetData>
    <row r="1" spans="1:10" ht="73.05" customHeight="1" x14ac:dyDescent="0.25">
      <c r="A1" s="104"/>
      <c r="B1" s="17"/>
      <c r="C1" s="155" t="s">
        <v>636</v>
      </c>
      <c r="D1" s="106"/>
      <c r="E1" s="106"/>
      <c r="F1" s="106"/>
      <c r="G1" s="106"/>
      <c r="H1" s="106"/>
      <c r="I1" s="106"/>
    </row>
    <row r="2" spans="1:10" x14ac:dyDescent="0.25">
      <c r="A2" s="107" t="s">
        <v>1</v>
      </c>
      <c r="B2" s="108"/>
      <c r="C2" s="111" t="str">
        <f>'Stavební rozpočet'!C2</f>
        <v>Výměna zdroje tepla v budově Obecního úřadu Doubrava č.p. 599</v>
      </c>
      <c r="D2" s="142"/>
      <c r="E2" s="114" t="s">
        <v>489</v>
      </c>
      <c r="F2" s="114" t="str">
        <f>'Stavební rozpočet'!G2</f>
        <v>Obec Doubrava, Doubrava 599, 735 33 Doubrava</v>
      </c>
      <c r="G2" s="108"/>
      <c r="H2" s="114" t="s">
        <v>624</v>
      </c>
      <c r="I2" s="156"/>
      <c r="J2" s="6"/>
    </row>
    <row r="3" spans="1:10" x14ac:dyDescent="0.25">
      <c r="A3" s="109"/>
      <c r="B3" s="110"/>
      <c r="C3" s="112"/>
      <c r="D3" s="112"/>
      <c r="E3" s="110"/>
      <c r="F3" s="110"/>
      <c r="G3" s="110"/>
      <c r="H3" s="110"/>
      <c r="I3" s="116"/>
      <c r="J3" s="6"/>
    </row>
    <row r="4" spans="1:10" x14ac:dyDescent="0.25">
      <c r="A4" s="117" t="s">
        <v>2</v>
      </c>
      <c r="B4" s="110"/>
      <c r="C4" s="118" t="str">
        <f>'Stavební rozpočet'!C4</f>
        <v>účelová-ostatní</v>
      </c>
      <c r="D4" s="110"/>
      <c r="E4" s="118" t="s">
        <v>490</v>
      </c>
      <c r="F4" s="118" t="str">
        <f>'Stavební rozpočet'!G4</f>
        <v>Ing. Stanislav Wilczek</v>
      </c>
      <c r="G4" s="110"/>
      <c r="H4" s="118" t="s">
        <v>624</v>
      </c>
      <c r="I4" s="157"/>
      <c r="J4" s="6"/>
    </row>
    <row r="5" spans="1:10" x14ac:dyDescent="0.25">
      <c r="A5" s="109"/>
      <c r="B5" s="110"/>
      <c r="C5" s="110"/>
      <c r="D5" s="110"/>
      <c r="E5" s="110"/>
      <c r="F5" s="110"/>
      <c r="G5" s="110"/>
      <c r="H5" s="110"/>
      <c r="I5" s="116"/>
      <c r="J5" s="6"/>
    </row>
    <row r="6" spans="1:10" x14ac:dyDescent="0.25">
      <c r="A6" s="117" t="s">
        <v>3</v>
      </c>
      <c r="B6" s="110"/>
      <c r="C6" s="118" t="str">
        <f>'Stavební rozpočet'!C6</f>
        <v>Budova OÚ, Doubrava 599,  735 33 Doubrava</v>
      </c>
      <c r="D6" s="110"/>
      <c r="E6" s="118" t="s">
        <v>491</v>
      </c>
      <c r="F6" s="118" t="str">
        <f>'Stavební rozpočet'!G6</f>
        <v> </v>
      </c>
      <c r="G6" s="110"/>
      <c r="H6" s="118" t="s">
        <v>624</v>
      </c>
      <c r="I6" s="157"/>
      <c r="J6" s="6"/>
    </row>
    <row r="7" spans="1:10" x14ac:dyDescent="0.25">
      <c r="A7" s="109"/>
      <c r="B7" s="110"/>
      <c r="C7" s="110"/>
      <c r="D7" s="110"/>
      <c r="E7" s="110"/>
      <c r="F7" s="110"/>
      <c r="G7" s="110"/>
      <c r="H7" s="110"/>
      <c r="I7" s="116"/>
      <c r="J7" s="6"/>
    </row>
    <row r="8" spans="1:10" x14ac:dyDescent="0.25">
      <c r="A8" s="117" t="s">
        <v>483</v>
      </c>
      <c r="B8" s="110"/>
      <c r="C8" s="118" t="str">
        <f>'Stavební rozpočet'!E4</f>
        <v xml:space="preserve"> </v>
      </c>
      <c r="D8" s="110"/>
      <c r="E8" s="118" t="s">
        <v>484</v>
      </c>
      <c r="F8" s="118">
        <f>'Stavební rozpočet'!E6</f>
        <v>0</v>
      </c>
      <c r="G8" s="110"/>
      <c r="H8" s="119" t="s">
        <v>625</v>
      </c>
      <c r="I8" s="157" t="s">
        <v>146</v>
      </c>
      <c r="J8" s="6"/>
    </row>
    <row r="9" spans="1:10" x14ac:dyDescent="0.25">
      <c r="A9" s="109"/>
      <c r="B9" s="110"/>
      <c r="C9" s="110"/>
      <c r="D9" s="110"/>
      <c r="E9" s="110"/>
      <c r="F9" s="110"/>
      <c r="G9" s="110"/>
      <c r="H9" s="110"/>
      <c r="I9" s="116"/>
      <c r="J9" s="6"/>
    </row>
    <row r="10" spans="1:10" x14ac:dyDescent="0.25">
      <c r="A10" s="117" t="s">
        <v>4</v>
      </c>
      <c r="B10" s="110"/>
      <c r="C10" s="118" t="str">
        <f>'Stavební rozpočet'!C8</f>
        <v xml:space="preserve"> </v>
      </c>
      <c r="D10" s="110"/>
      <c r="E10" s="118" t="s">
        <v>492</v>
      </c>
      <c r="F10" s="118" t="str">
        <f>'Stavební rozpočet'!G8</f>
        <v>Ing. Stanislav Wilczek</v>
      </c>
      <c r="G10" s="110"/>
      <c r="H10" s="119" t="s">
        <v>626</v>
      </c>
      <c r="I10" s="144" t="str">
        <f>'Stavební rozpočet'!E8</f>
        <v>15.10.2021</v>
      </c>
      <c r="J10" s="6"/>
    </row>
    <row r="11" spans="1:10" x14ac:dyDescent="0.25">
      <c r="A11" s="158"/>
      <c r="B11" s="151"/>
      <c r="C11" s="151"/>
      <c r="D11" s="151"/>
      <c r="E11" s="151"/>
      <c r="F11" s="151"/>
      <c r="G11" s="151"/>
      <c r="H11" s="151"/>
      <c r="I11" s="159"/>
      <c r="J11" s="6"/>
    </row>
    <row r="12" spans="1:10" x14ac:dyDescent="0.25">
      <c r="A12" s="9"/>
      <c r="B12" s="9"/>
      <c r="C12" s="9"/>
      <c r="D12" s="9"/>
      <c r="E12" s="9"/>
      <c r="F12" s="9"/>
      <c r="G12" s="9"/>
      <c r="H12" s="9"/>
      <c r="I12" s="9"/>
    </row>
    <row r="13" spans="1:10" ht="15.15" customHeight="1" x14ac:dyDescent="0.25">
      <c r="A13" s="179" t="s">
        <v>628</v>
      </c>
      <c r="B13" s="180"/>
      <c r="C13" s="180"/>
      <c r="D13" s="180"/>
      <c r="E13" s="180"/>
      <c r="F13" s="95"/>
      <c r="G13" s="95"/>
      <c r="H13" s="95"/>
      <c r="I13" s="95"/>
    </row>
    <row r="14" spans="1:10" x14ac:dyDescent="0.25">
      <c r="A14" s="181" t="s">
        <v>629</v>
      </c>
      <c r="B14" s="182"/>
      <c r="C14" s="182"/>
      <c r="D14" s="182"/>
      <c r="E14" s="183"/>
      <c r="F14" s="96" t="s">
        <v>637</v>
      </c>
      <c r="G14" s="96" t="s">
        <v>638</v>
      </c>
      <c r="H14" s="96" t="s">
        <v>639</v>
      </c>
      <c r="I14" s="96" t="s">
        <v>637</v>
      </c>
      <c r="J14" s="57"/>
    </row>
    <row r="15" spans="1:10" x14ac:dyDescent="0.25">
      <c r="A15" s="184" t="s">
        <v>601</v>
      </c>
      <c r="B15" s="185"/>
      <c r="C15" s="185"/>
      <c r="D15" s="185"/>
      <c r="E15" s="186"/>
      <c r="F15" s="97">
        <v>0</v>
      </c>
      <c r="G15" s="100"/>
      <c r="H15" s="100"/>
      <c r="I15" s="97">
        <f>F15</f>
        <v>0</v>
      </c>
      <c r="J15" s="6"/>
    </row>
    <row r="16" spans="1:10" x14ac:dyDescent="0.25">
      <c r="A16" s="184" t="s">
        <v>602</v>
      </c>
      <c r="B16" s="185"/>
      <c r="C16" s="185"/>
      <c r="D16" s="185"/>
      <c r="E16" s="186"/>
      <c r="F16" s="97">
        <v>0</v>
      </c>
      <c r="G16" s="100"/>
      <c r="H16" s="100"/>
      <c r="I16" s="97">
        <f>F16</f>
        <v>0</v>
      </c>
      <c r="J16" s="6"/>
    </row>
    <row r="17" spans="1:10" x14ac:dyDescent="0.25">
      <c r="A17" s="187" t="s">
        <v>603</v>
      </c>
      <c r="B17" s="188"/>
      <c r="C17" s="188"/>
      <c r="D17" s="188"/>
      <c r="E17" s="189"/>
      <c r="F17" s="98">
        <v>0</v>
      </c>
      <c r="G17" s="101"/>
      <c r="H17" s="101"/>
      <c r="I17" s="98">
        <f>F17</f>
        <v>0</v>
      </c>
      <c r="J17" s="6"/>
    </row>
    <row r="18" spans="1:10" x14ac:dyDescent="0.25">
      <c r="A18" s="145" t="s">
        <v>630</v>
      </c>
      <c r="B18" s="190"/>
      <c r="C18" s="190"/>
      <c r="D18" s="190"/>
      <c r="E18" s="191"/>
      <c r="F18" s="99"/>
      <c r="G18" s="102"/>
      <c r="H18" s="102"/>
      <c r="I18" s="103">
        <f>SUM(I15:I17)</f>
        <v>0</v>
      </c>
      <c r="J18" s="57"/>
    </row>
    <row r="19" spans="1:10" x14ac:dyDescent="0.25">
      <c r="A19" s="94"/>
      <c r="B19" s="94"/>
      <c r="C19" s="94"/>
      <c r="D19" s="94"/>
      <c r="E19" s="94"/>
      <c r="F19" s="94"/>
      <c r="G19" s="94"/>
      <c r="H19" s="94"/>
      <c r="I19" s="94"/>
    </row>
    <row r="20" spans="1:10" x14ac:dyDescent="0.25">
      <c r="A20" s="181" t="s">
        <v>627</v>
      </c>
      <c r="B20" s="182"/>
      <c r="C20" s="182"/>
      <c r="D20" s="182"/>
      <c r="E20" s="183"/>
      <c r="F20" s="96" t="s">
        <v>637</v>
      </c>
      <c r="G20" s="96" t="s">
        <v>638</v>
      </c>
      <c r="H20" s="96" t="s">
        <v>639</v>
      </c>
      <c r="I20" s="96" t="s">
        <v>637</v>
      </c>
      <c r="J20" s="57"/>
    </row>
    <row r="21" spans="1:10" x14ac:dyDescent="0.25">
      <c r="A21" s="184" t="s">
        <v>611</v>
      </c>
      <c r="B21" s="185"/>
      <c r="C21" s="185"/>
      <c r="D21" s="185"/>
      <c r="E21" s="186"/>
      <c r="F21" s="97">
        <v>0</v>
      </c>
      <c r="G21" s="100"/>
      <c r="H21" s="100"/>
      <c r="I21" s="97">
        <f t="shared" ref="I21:I26" si="0">F21</f>
        <v>0</v>
      </c>
      <c r="J21" s="6"/>
    </row>
    <row r="22" spans="1:10" x14ac:dyDescent="0.25">
      <c r="A22" s="184" t="s">
        <v>612</v>
      </c>
      <c r="B22" s="185"/>
      <c r="C22" s="185"/>
      <c r="D22" s="185"/>
      <c r="E22" s="186"/>
      <c r="F22" s="97">
        <v>0</v>
      </c>
      <c r="G22" s="100"/>
      <c r="H22" s="100"/>
      <c r="I22" s="97">
        <f t="shared" si="0"/>
        <v>0</v>
      </c>
      <c r="J22" s="6"/>
    </row>
    <row r="23" spans="1:10" x14ac:dyDescent="0.25">
      <c r="A23" s="184" t="s">
        <v>613</v>
      </c>
      <c r="B23" s="185"/>
      <c r="C23" s="185"/>
      <c r="D23" s="185"/>
      <c r="E23" s="186"/>
      <c r="F23" s="97">
        <v>0</v>
      </c>
      <c r="G23" s="100"/>
      <c r="H23" s="100"/>
      <c r="I23" s="97">
        <f t="shared" si="0"/>
        <v>0</v>
      </c>
      <c r="J23" s="6"/>
    </row>
    <row r="24" spans="1:10" x14ac:dyDescent="0.25">
      <c r="A24" s="184" t="s">
        <v>614</v>
      </c>
      <c r="B24" s="185"/>
      <c r="C24" s="185"/>
      <c r="D24" s="185"/>
      <c r="E24" s="186"/>
      <c r="F24" s="97">
        <v>0</v>
      </c>
      <c r="G24" s="100"/>
      <c r="H24" s="100"/>
      <c r="I24" s="97">
        <f t="shared" si="0"/>
        <v>0</v>
      </c>
      <c r="J24" s="6"/>
    </row>
    <row r="25" spans="1:10" x14ac:dyDescent="0.25">
      <c r="A25" s="184" t="s">
        <v>615</v>
      </c>
      <c r="B25" s="185"/>
      <c r="C25" s="185"/>
      <c r="D25" s="185"/>
      <c r="E25" s="186"/>
      <c r="F25" s="97">
        <v>0</v>
      </c>
      <c r="G25" s="100"/>
      <c r="H25" s="100"/>
      <c r="I25" s="97">
        <f t="shared" si="0"/>
        <v>0</v>
      </c>
      <c r="J25" s="6"/>
    </row>
    <row r="26" spans="1:10" x14ac:dyDescent="0.25">
      <c r="A26" s="187" t="s">
        <v>616</v>
      </c>
      <c r="B26" s="188"/>
      <c r="C26" s="188"/>
      <c r="D26" s="188"/>
      <c r="E26" s="189"/>
      <c r="F26" s="98">
        <v>0</v>
      </c>
      <c r="G26" s="101"/>
      <c r="H26" s="101"/>
      <c r="I26" s="98">
        <f t="shared" si="0"/>
        <v>0</v>
      </c>
      <c r="J26" s="6"/>
    </row>
    <row r="27" spans="1:10" x14ac:dyDescent="0.25">
      <c r="A27" s="145" t="s">
        <v>631</v>
      </c>
      <c r="B27" s="190"/>
      <c r="C27" s="190"/>
      <c r="D27" s="190"/>
      <c r="E27" s="191"/>
      <c r="F27" s="99"/>
      <c r="G27" s="102"/>
      <c r="H27" s="102"/>
      <c r="I27" s="103">
        <f>SUM(I21:I26)</f>
        <v>0</v>
      </c>
      <c r="J27" s="57"/>
    </row>
    <row r="28" spans="1:10" x14ac:dyDescent="0.25">
      <c r="A28" s="94"/>
      <c r="B28" s="94"/>
      <c r="C28" s="94"/>
      <c r="D28" s="94"/>
      <c r="E28" s="94"/>
      <c r="F28" s="94"/>
      <c r="G28" s="94"/>
      <c r="H28" s="94"/>
      <c r="I28" s="94"/>
    </row>
    <row r="29" spans="1:10" ht="15.15" customHeight="1" x14ac:dyDescent="0.25">
      <c r="A29" s="192" t="s">
        <v>632</v>
      </c>
      <c r="B29" s="193"/>
      <c r="C29" s="193"/>
      <c r="D29" s="193"/>
      <c r="E29" s="194"/>
      <c r="F29" s="195">
        <f>I18+I27</f>
        <v>0</v>
      </c>
      <c r="G29" s="196"/>
      <c r="H29" s="196"/>
      <c r="I29" s="197"/>
      <c r="J29" s="57"/>
    </row>
    <row r="30" spans="1:10" x14ac:dyDescent="0.25">
      <c r="A30" s="87"/>
      <c r="B30" s="87"/>
      <c r="C30" s="87"/>
      <c r="D30" s="87"/>
      <c r="E30" s="87"/>
      <c r="F30" s="87"/>
      <c r="G30" s="87"/>
      <c r="H30" s="87"/>
      <c r="I30" s="87"/>
    </row>
    <row r="33" spans="1:10" ht="15.15" customHeight="1" x14ac:dyDescent="0.25">
      <c r="A33" s="179" t="s">
        <v>633</v>
      </c>
      <c r="B33" s="180"/>
      <c r="C33" s="180"/>
      <c r="D33" s="180"/>
      <c r="E33" s="180"/>
      <c r="F33" s="95"/>
      <c r="G33" s="95"/>
      <c r="H33" s="95"/>
      <c r="I33" s="95"/>
    </row>
    <row r="34" spans="1:10" x14ac:dyDescent="0.25">
      <c r="A34" s="181" t="s">
        <v>634</v>
      </c>
      <c r="B34" s="182"/>
      <c r="C34" s="182"/>
      <c r="D34" s="182"/>
      <c r="E34" s="183"/>
      <c r="F34" s="96" t="s">
        <v>637</v>
      </c>
      <c r="G34" s="96" t="s">
        <v>638</v>
      </c>
      <c r="H34" s="96" t="s">
        <v>639</v>
      </c>
      <c r="I34" s="96" t="s">
        <v>637</v>
      </c>
      <c r="J34" s="57"/>
    </row>
    <row r="35" spans="1:10" x14ac:dyDescent="0.25">
      <c r="A35" s="187"/>
      <c r="B35" s="188"/>
      <c r="C35" s="188"/>
      <c r="D35" s="188"/>
      <c r="E35" s="189"/>
      <c r="F35" s="98">
        <v>0</v>
      </c>
      <c r="G35" s="101"/>
      <c r="H35" s="101"/>
      <c r="I35" s="98">
        <f>F35</f>
        <v>0</v>
      </c>
      <c r="J35" s="6"/>
    </row>
    <row r="36" spans="1:10" x14ac:dyDescent="0.25">
      <c r="A36" s="145" t="s">
        <v>635</v>
      </c>
      <c r="B36" s="190"/>
      <c r="C36" s="190"/>
      <c r="D36" s="190"/>
      <c r="E36" s="191"/>
      <c r="F36" s="99"/>
      <c r="G36" s="102"/>
      <c r="H36" s="102"/>
      <c r="I36" s="103">
        <f>SUM(I35:I35)</f>
        <v>0</v>
      </c>
      <c r="J36" s="57"/>
    </row>
    <row r="37" spans="1:10" x14ac:dyDescent="0.25">
      <c r="A37" s="87"/>
      <c r="B37" s="87"/>
      <c r="C37" s="87"/>
      <c r="D37" s="87"/>
      <c r="E37" s="87"/>
      <c r="F37" s="87"/>
      <c r="G37" s="87"/>
      <c r="H37" s="87"/>
      <c r="I37" s="87"/>
    </row>
  </sheetData>
  <mergeCells count="51">
    <mergeCell ref="A35:E35"/>
    <mergeCell ref="A36:E36"/>
    <mergeCell ref="A26:E26"/>
    <mergeCell ref="A27:E27"/>
    <mergeCell ref="A29:E29"/>
    <mergeCell ref="F29:I29"/>
    <mergeCell ref="A33:E33"/>
    <mergeCell ref="A34:E34"/>
    <mergeCell ref="A20:E20"/>
    <mergeCell ref="A21:E21"/>
    <mergeCell ref="A22:E22"/>
    <mergeCell ref="A23:E23"/>
    <mergeCell ref="A24:E24"/>
    <mergeCell ref="A25:E25"/>
    <mergeCell ref="A13:E13"/>
    <mergeCell ref="A14:E14"/>
    <mergeCell ref="A15:E15"/>
    <mergeCell ref="A16:E16"/>
    <mergeCell ref="A17:E17"/>
    <mergeCell ref="A18:E18"/>
    <mergeCell ref="A10:B11"/>
    <mergeCell ref="C10:D11"/>
    <mergeCell ref="E10:E11"/>
    <mergeCell ref="F10:G11"/>
    <mergeCell ref="H10:H11"/>
    <mergeCell ref="I10:I11"/>
    <mergeCell ref="A8:B9"/>
    <mergeCell ref="C8:D9"/>
    <mergeCell ref="E8:E9"/>
    <mergeCell ref="F8:G9"/>
    <mergeCell ref="H8:H9"/>
    <mergeCell ref="I8:I9"/>
    <mergeCell ref="A6:B7"/>
    <mergeCell ref="C6:D7"/>
    <mergeCell ref="E6:E7"/>
    <mergeCell ref="F6:G7"/>
    <mergeCell ref="H6:H7"/>
    <mergeCell ref="I6:I7"/>
    <mergeCell ref="A4:B5"/>
    <mergeCell ref="C4:D5"/>
    <mergeCell ref="E4:E5"/>
    <mergeCell ref="F4:G5"/>
    <mergeCell ref="H4:H5"/>
    <mergeCell ref="I4:I5"/>
    <mergeCell ref="C1:I1"/>
    <mergeCell ref="A2:B3"/>
    <mergeCell ref="C2:D3"/>
    <mergeCell ref="E2:E3"/>
    <mergeCell ref="F2:G3"/>
    <mergeCell ref="H2:H3"/>
    <mergeCell ref="I2:I3"/>
  </mergeCells>
  <pageMargins left="0.39400000000000002" right="0.39400000000000002" top="0.59099999999999997" bottom="0.59099999999999997" header="0.5" footer="0.5"/>
  <pageSetup paperSize="0" fitToHeight="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</vt:i4>
      </vt:variant>
    </vt:vector>
  </HeadingPairs>
  <TitlesOfParts>
    <vt:vector size="6" baseType="lpstr">
      <vt:lpstr>Stavební rozpočet</vt:lpstr>
      <vt:lpstr>Stavební rozpočet - součet</vt:lpstr>
      <vt:lpstr>Výkaz výměr</vt:lpstr>
      <vt:lpstr>Krycí list rozpočtu</vt:lpstr>
      <vt:lpstr>VORN</vt:lpstr>
      <vt:lpstr>vorn_sum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</dc:creator>
  <cp:lastModifiedBy>Stanislav Wilczek</cp:lastModifiedBy>
  <dcterms:created xsi:type="dcterms:W3CDTF">2021-10-20T18:14:05Z</dcterms:created>
  <dcterms:modified xsi:type="dcterms:W3CDTF">2021-10-20T18:14:05Z</dcterms:modified>
</cp:coreProperties>
</file>