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4 archív AutoCAD\CAD 2020\12 ZŠ Doubrava\Export kotelna ZŠ Doubrava\Rozpočet 2021-12\"/>
    </mc:Choice>
  </mc:AlternateContent>
  <bookViews>
    <workbookView xWindow="0" yWindow="0" windowWidth="9660" windowHeight="5496"/>
  </bookViews>
  <sheets>
    <sheet name="Stavební rozpočet" sheetId="1" r:id="rId1"/>
    <sheet name="Stavební rozpočet - součet" sheetId="2" r:id="rId2"/>
    <sheet name="Výkaz výměr" sheetId="3" r:id="rId3"/>
    <sheet name="Krycí list rozpočtu" sheetId="4" r:id="rId4"/>
    <sheet name="VORN" sheetId="5" r:id="rId5"/>
  </sheets>
  <definedNames>
    <definedName name="vorn_sum">VORN!$I$36:$I$36</definedName>
  </definedNames>
  <calcPr calcId="16777215"/>
</workbook>
</file>

<file path=xl/calcChain.xml><?xml version="1.0" encoding="utf-8"?>
<calcChain xmlns="http://schemas.openxmlformats.org/spreadsheetml/2006/main">
  <c r="C2" i="4" l="1"/>
  <c r="F2" i="4"/>
  <c r="C4" i="4"/>
  <c r="F4" i="4"/>
  <c r="C6" i="4"/>
  <c r="F6" i="4"/>
  <c r="C8" i="4"/>
  <c r="C10" i="4"/>
  <c r="F10" i="4"/>
  <c r="I10" i="4"/>
  <c r="C14" i="4"/>
  <c r="F14" i="4"/>
  <c r="I14" i="4"/>
  <c r="C15" i="4"/>
  <c r="F15" i="4"/>
  <c r="I15" i="4"/>
  <c r="C16" i="4"/>
  <c r="F16" i="4"/>
  <c r="I16" i="4"/>
  <c r="C17" i="4"/>
  <c r="I17" i="4"/>
  <c r="C18" i="4"/>
  <c r="I18" i="4"/>
  <c r="C19" i="4"/>
  <c r="I19" i="4"/>
  <c r="C20" i="4"/>
  <c r="C21" i="4"/>
  <c r="C22" i="4"/>
  <c r="F22" i="4"/>
  <c r="I22" i="4"/>
  <c r="I24" i="4"/>
  <c r="C27" i="4"/>
  <c r="C28" i="4"/>
  <c r="F28" i="4"/>
  <c r="I28" i="4"/>
  <c r="C29" i="4"/>
  <c r="F29" i="4"/>
  <c r="I29" i="4"/>
  <c r="J12" i="1"/>
  <c r="K12" i="1"/>
  <c r="L12" i="1"/>
  <c r="N12" i="1"/>
  <c r="AS12" i="1"/>
  <c r="AT12" i="1"/>
  <c r="AU12" i="1"/>
  <c r="J13" i="1"/>
  <c r="K13" i="1"/>
  <c r="L13" i="1"/>
  <c r="N13" i="1"/>
  <c r="Z13" i="1"/>
  <c r="AB13" i="1"/>
  <c r="AC13" i="1"/>
  <c r="AD13" i="1"/>
  <c r="AE13" i="1"/>
  <c r="AF13" i="1"/>
  <c r="AG13" i="1"/>
  <c r="AH13" i="1"/>
  <c r="AJ13" i="1"/>
  <c r="AK13" i="1"/>
  <c r="AL13" i="1"/>
  <c r="AO13" i="1"/>
  <c r="AP13" i="1"/>
  <c r="AV13" i="1"/>
  <c r="AW13" i="1"/>
  <c r="AX13" i="1"/>
  <c r="BC13" i="1"/>
  <c r="BD13" i="1"/>
  <c r="BF13" i="1"/>
  <c r="BH13" i="1"/>
  <c r="BI13" i="1"/>
  <c r="BJ13" i="1"/>
  <c r="J15" i="1"/>
  <c r="K15" i="1"/>
  <c r="L15" i="1"/>
  <c r="N15" i="1"/>
  <c r="Z15" i="1"/>
  <c r="AB15" i="1"/>
  <c r="AC15" i="1"/>
  <c r="AD15" i="1"/>
  <c r="AE15" i="1"/>
  <c r="AF15" i="1"/>
  <c r="AG15" i="1"/>
  <c r="AH15" i="1"/>
  <c r="AJ15" i="1"/>
  <c r="AK15" i="1"/>
  <c r="AL15" i="1"/>
  <c r="AO15" i="1"/>
  <c r="AP15" i="1"/>
  <c r="AV15" i="1"/>
  <c r="AW15" i="1"/>
  <c r="AX15" i="1"/>
  <c r="BC15" i="1"/>
  <c r="BD15" i="1"/>
  <c r="BF15" i="1"/>
  <c r="BH15" i="1"/>
  <c r="BI15" i="1"/>
  <c r="BJ15" i="1"/>
  <c r="J16" i="1"/>
  <c r="K16" i="1"/>
  <c r="L16" i="1"/>
  <c r="N16" i="1"/>
  <c r="Z16" i="1"/>
  <c r="AB16" i="1"/>
  <c r="AC16" i="1"/>
  <c r="AD16" i="1"/>
  <c r="AE16" i="1"/>
  <c r="AF16" i="1"/>
  <c r="AG16" i="1"/>
  <c r="AH16" i="1"/>
  <c r="AJ16" i="1"/>
  <c r="AK16" i="1"/>
  <c r="AL16" i="1"/>
  <c r="AO16" i="1"/>
  <c r="AP16" i="1"/>
  <c r="AV16" i="1"/>
  <c r="AW16" i="1"/>
  <c r="AX16" i="1"/>
  <c r="BC16" i="1"/>
  <c r="BD16" i="1"/>
  <c r="BF16" i="1"/>
  <c r="BH16" i="1"/>
  <c r="BI16" i="1"/>
  <c r="BJ16" i="1"/>
  <c r="J17" i="1"/>
  <c r="K17" i="1"/>
  <c r="L17" i="1"/>
  <c r="N17" i="1"/>
  <c r="AS17" i="1"/>
  <c r="AT17" i="1"/>
  <c r="AU17" i="1"/>
  <c r="J18" i="1"/>
  <c r="K18" i="1"/>
  <c r="L18" i="1"/>
  <c r="N18" i="1"/>
  <c r="Z18" i="1"/>
  <c r="AB18" i="1"/>
  <c r="AC18" i="1"/>
  <c r="AD18" i="1"/>
  <c r="AE18" i="1"/>
  <c r="AF18" i="1"/>
  <c r="AG18" i="1"/>
  <c r="AH18" i="1"/>
  <c r="AJ18" i="1"/>
  <c r="AK18" i="1"/>
  <c r="AL18" i="1"/>
  <c r="AO18" i="1"/>
  <c r="AP18" i="1"/>
  <c r="AV18" i="1"/>
  <c r="AW18" i="1"/>
  <c r="AX18" i="1"/>
  <c r="BC18" i="1"/>
  <c r="BD18" i="1"/>
  <c r="BF18" i="1"/>
  <c r="BH18" i="1"/>
  <c r="BI18" i="1"/>
  <c r="BJ18" i="1"/>
  <c r="J19" i="1"/>
  <c r="K19" i="1"/>
  <c r="L19" i="1"/>
  <c r="N19" i="1"/>
  <c r="AS19" i="1"/>
  <c r="AT19" i="1"/>
  <c r="AU19" i="1"/>
  <c r="J20" i="1"/>
  <c r="K20" i="1"/>
  <c r="L20" i="1"/>
  <c r="N20" i="1"/>
  <c r="Z20" i="1"/>
  <c r="AB20" i="1"/>
  <c r="AC20" i="1"/>
  <c r="AD20" i="1"/>
  <c r="AE20" i="1"/>
  <c r="AF20" i="1"/>
  <c r="AG20" i="1"/>
  <c r="AH20" i="1"/>
  <c r="AJ20" i="1"/>
  <c r="AK20" i="1"/>
  <c r="AL20" i="1"/>
  <c r="AO20" i="1"/>
  <c r="AP20" i="1"/>
  <c r="AV20" i="1"/>
  <c r="AW20" i="1"/>
  <c r="AX20" i="1"/>
  <c r="BC20" i="1"/>
  <c r="BD20" i="1"/>
  <c r="BF20" i="1"/>
  <c r="BH20" i="1"/>
  <c r="BI20" i="1"/>
  <c r="BJ20" i="1"/>
  <c r="J22" i="1"/>
  <c r="K22" i="1"/>
  <c r="L22" i="1"/>
  <c r="N22" i="1"/>
  <c r="Z22" i="1"/>
  <c r="AB22" i="1"/>
  <c r="AC22" i="1"/>
  <c r="AD22" i="1"/>
  <c r="AE22" i="1"/>
  <c r="AF22" i="1"/>
  <c r="AG22" i="1"/>
  <c r="AH22" i="1"/>
  <c r="AJ22" i="1"/>
  <c r="AK22" i="1"/>
  <c r="AL22" i="1"/>
  <c r="AO22" i="1"/>
  <c r="AP22" i="1"/>
  <c r="AV22" i="1"/>
  <c r="AW22" i="1"/>
  <c r="AX22" i="1"/>
  <c r="BC22" i="1"/>
  <c r="BD22" i="1"/>
  <c r="BF22" i="1"/>
  <c r="BH22" i="1"/>
  <c r="BI22" i="1"/>
  <c r="BJ22" i="1"/>
  <c r="J24" i="1"/>
  <c r="K24" i="1"/>
  <c r="L24" i="1"/>
  <c r="N24" i="1"/>
  <c r="AS24" i="1"/>
  <c r="AT24" i="1"/>
  <c r="AU24" i="1"/>
  <c r="J25" i="1"/>
  <c r="K25" i="1"/>
  <c r="L25" i="1"/>
  <c r="N25" i="1"/>
  <c r="Z25" i="1"/>
  <c r="AB25" i="1"/>
  <c r="AC25" i="1"/>
  <c r="AD25" i="1"/>
  <c r="AE25" i="1"/>
  <c r="AF25" i="1"/>
  <c r="AG25" i="1"/>
  <c r="AH25" i="1"/>
  <c r="AJ25" i="1"/>
  <c r="AK25" i="1"/>
  <c r="AL25" i="1"/>
  <c r="AO25" i="1"/>
  <c r="AP25" i="1"/>
  <c r="AV25" i="1"/>
  <c r="AW25" i="1"/>
  <c r="AX25" i="1"/>
  <c r="BC25" i="1"/>
  <c r="BD25" i="1"/>
  <c r="BF25" i="1"/>
  <c r="BH25" i="1"/>
  <c r="BI25" i="1"/>
  <c r="BJ25" i="1"/>
  <c r="J27" i="1"/>
  <c r="K27" i="1"/>
  <c r="L27" i="1"/>
  <c r="N27" i="1"/>
  <c r="AS27" i="1"/>
  <c r="AT27" i="1"/>
  <c r="AU27" i="1"/>
  <c r="J28" i="1"/>
  <c r="K28" i="1"/>
  <c r="L28" i="1"/>
  <c r="N28" i="1"/>
  <c r="Z28" i="1"/>
  <c r="AB28" i="1"/>
  <c r="AC28" i="1"/>
  <c r="AD28" i="1"/>
  <c r="AE28" i="1"/>
  <c r="AF28" i="1"/>
  <c r="AG28" i="1"/>
  <c r="AH28" i="1"/>
  <c r="AJ28" i="1"/>
  <c r="AK28" i="1"/>
  <c r="AL28" i="1"/>
  <c r="AO28" i="1"/>
  <c r="AP28" i="1"/>
  <c r="AV28" i="1"/>
  <c r="AW28" i="1"/>
  <c r="AX28" i="1"/>
  <c r="BC28" i="1"/>
  <c r="BD28" i="1"/>
  <c r="BF28" i="1"/>
  <c r="BH28" i="1"/>
  <c r="BI28" i="1"/>
  <c r="BJ28" i="1"/>
  <c r="J30" i="1"/>
  <c r="K30" i="1"/>
  <c r="L30" i="1"/>
  <c r="N30" i="1"/>
  <c r="Z30" i="1"/>
  <c r="AB30" i="1"/>
  <c r="AC30" i="1"/>
  <c r="AD30" i="1"/>
  <c r="AE30" i="1"/>
  <c r="AF30" i="1"/>
  <c r="AG30" i="1"/>
  <c r="AH30" i="1"/>
  <c r="AJ30" i="1"/>
  <c r="AK30" i="1"/>
  <c r="AL30" i="1"/>
  <c r="AO30" i="1"/>
  <c r="AP30" i="1"/>
  <c r="AV30" i="1"/>
  <c r="AW30" i="1"/>
  <c r="AX30" i="1"/>
  <c r="BC30" i="1"/>
  <c r="BD30" i="1"/>
  <c r="BF30" i="1"/>
  <c r="BH30" i="1"/>
  <c r="BI30" i="1"/>
  <c r="BJ30" i="1"/>
  <c r="J31" i="1"/>
  <c r="K31" i="1"/>
  <c r="L31" i="1"/>
  <c r="N31" i="1"/>
  <c r="Z31" i="1"/>
  <c r="AB31" i="1"/>
  <c r="AC31" i="1"/>
  <c r="AD31" i="1"/>
  <c r="AE31" i="1"/>
  <c r="AF31" i="1"/>
  <c r="AG31" i="1"/>
  <c r="AH31" i="1"/>
  <c r="AJ31" i="1"/>
  <c r="AK31" i="1"/>
  <c r="AL31" i="1"/>
  <c r="AO31" i="1"/>
  <c r="AP31" i="1"/>
  <c r="AV31" i="1"/>
  <c r="AW31" i="1"/>
  <c r="AX31" i="1"/>
  <c r="BC31" i="1"/>
  <c r="BD31" i="1"/>
  <c r="BF31" i="1"/>
  <c r="BH31" i="1"/>
  <c r="BI31" i="1"/>
  <c r="BJ31" i="1"/>
  <c r="J32" i="1"/>
  <c r="K32" i="1"/>
  <c r="L32" i="1"/>
  <c r="N32" i="1"/>
  <c r="AS32" i="1"/>
  <c r="AT32" i="1"/>
  <c r="AU32" i="1"/>
  <c r="J33" i="1"/>
  <c r="K33" i="1"/>
  <c r="L33" i="1"/>
  <c r="N33" i="1"/>
  <c r="Z33" i="1"/>
  <c r="AB33" i="1"/>
  <c r="AC33" i="1"/>
  <c r="AD33" i="1"/>
  <c r="AE33" i="1"/>
  <c r="AF33" i="1"/>
  <c r="AG33" i="1"/>
  <c r="AH33" i="1"/>
  <c r="AJ33" i="1"/>
  <c r="AK33" i="1"/>
  <c r="AL33" i="1"/>
  <c r="AO33" i="1"/>
  <c r="AP33" i="1"/>
  <c r="AV33" i="1"/>
  <c r="AW33" i="1"/>
  <c r="AX33" i="1"/>
  <c r="BC33" i="1"/>
  <c r="BD33" i="1"/>
  <c r="BF33" i="1"/>
  <c r="BH33" i="1"/>
  <c r="BI33" i="1"/>
  <c r="BJ33" i="1"/>
  <c r="J36" i="1"/>
  <c r="K36" i="1"/>
  <c r="L36" i="1"/>
  <c r="N36" i="1"/>
  <c r="Z36" i="1"/>
  <c r="AB36" i="1"/>
  <c r="AC36" i="1"/>
  <c r="AD36" i="1"/>
  <c r="AE36" i="1"/>
  <c r="AF36" i="1"/>
  <c r="AG36" i="1"/>
  <c r="AH36" i="1"/>
  <c r="AJ36" i="1"/>
  <c r="AK36" i="1"/>
  <c r="AL36" i="1"/>
  <c r="AO36" i="1"/>
  <c r="AP36" i="1"/>
  <c r="AV36" i="1"/>
  <c r="AW36" i="1"/>
  <c r="AX36" i="1"/>
  <c r="BC36" i="1"/>
  <c r="BD36" i="1"/>
  <c r="BF36" i="1"/>
  <c r="BH36" i="1"/>
  <c r="BI36" i="1"/>
  <c r="BJ36" i="1"/>
  <c r="J38" i="1"/>
  <c r="K38" i="1"/>
  <c r="L38" i="1"/>
  <c r="N38" i="1"/>
  <c r="Z38" i="1"/>
  <c r="AB38" i="1"/>
  <c r="AC38" i="1"/>
  <c r="AD38" i="1"/>
  <c r="AE38" i="1"/>
  <c r="AF38" i="1"/>
  <c r="AG38" i="1"/>
  <c r="AH38" i="1"/>
  <c r="AJ38" i="1"/>
  <c r="AK38" i="1"/>
  <c r="AL38" i="1"/>
  <c r="AO38" i="1"/>
  <c r="AP38" i="1"/>
  <c r="AV38" i="1"/>
  <c r="AW38" i="1"/>
  <c r="AX38" i="1"/>
  <c r="BC38" i="1"/>
  <c r="BD38" i="1"/>
  <c r="BF38" i="1"/>
  <c r="BH38" i="1"/>
  <c r="BI38" i="1"/>
  <c r="BJ38" i="1"/>
  <c r="J40" i="1"/>
  <c r="K40" i="1"/>
  <c r="L40" i="1"/>
  <c r="N40" i="1"/>
  <c r="Z40" i="1"/>
  <c r="AB40" i="1"/>
  <c r="AC40" i="1"/>
  <c r="AD40" i="1"/>
  <c r="AE40" i="1"/>
  <c r="AF40" i="1"/>
  <c r="AG40" i="1"/>
  <c r="AH40" i="1"/>
  <c r="AJ40" i="1"/>
  <c r="AK40" i="1"/>
  <c r="AL40" i="1"/>
  <c r="AO40" i="1"/>
  <c r="AP40" i="1"/>
  <c r="AV40" i="1"/>
  <c r="AW40" i="1"/>
  <c r="AX40" i="1"/>
  <c r="BC40" i="1"/>
  <c r="BD40" i="1"/>
  <c r="BF40" i="1"/>
  <c r="BH40" i="1"/>
  <c r="BI40" i="1"/>
  <c r="BJ40" i="1"/>
  <c r="J42" i="1"/>
  <c r="K42" i="1"/>
  <c r="L42" i="1"/>
  <c r="N42" i="1"/>
  <c r="Z42" i="1"/>
  <c r="AB42" i="1"/>
  <c r="AC42" i="1"/>
  <c r="AD42" i="1"/>
  <c r="AE42" i="1"/>
  <c r="AF42" i="1"/>
  <c r="AG42" i="1"/>
  <c r="AH42" i="1"/>
  <c r="AJ42" i="1"/>
  <c r="AK42" i="1"/>
  <c r="AL42" i="1"/>
  <c r="AO42" i="1"/>
  <c r="AP42" i="1"/>
  <c r="AV42" i="1"/>
  <c r="AW42" i="1"/>
  <c r="AX42" i="1"/>
  <c r="BC42" i="1"/>
  <c r="BD42" i="1"/>
  <c r="BF42" i="1"/>
  <c r="BH42" i="1"/>
  <c r="BI42" i="1"/>
  <c r="BJ42" i="1"/>
  <c r="J44" i="1"/>
  <c r="K44" i="1"/>
  <c r="L44" i="1"/>
  <c r="N44" i="1"/>
  <c r="AS44" i="1"/>
  <c r="AT44" i="1"/>
  <c r="AU44" i="1"/>
  <c r="J45" i="1"/>
  <c r="K45" i="1"/>
  <c r="L45" i="1"/>
  <c r="N45" i="1"/>
  <c r="Z45" i="1"/>
  <c r="AB45" i="1"/>
  <c r="AC45" i="1"/>
  <c r="AD45" i="1"/>
  <c r="AE45" i="1"/>
  <c r="AF45" i="1"/>
  <c r="AG45" i="1"/>
  <c r="AH45" i="1"/>
  <c r="AJ45" i="1"/>
  <c r="AK45" i="1"/>
  <c r="AL45" i="1"/>
  <c r="AO45" i="1"/>
  <c r="AP45" i="1"/>
  <c r="AV45" i="1"/>
  <c r="AW45" i="1"/>
  <c r="AX45" i="1"/>
  <c r="BC45" i="1"/>
  <c r="BD45" i="1"/>
  <c r="BF45" i="1"/>
  <c r="BH45" i="1"/>
  <c r="BI45" i="1"/>
  <c r="BJ45" i="1"/>
  <c r="J46" i="1"/>
  <c r="K46" i="1"/>
  <c r="L46" i="1"/>
  <c r="N46" i="1"/>
  <c r="Z46" i="1"/>
  <c r="AB46" i="1"/>
  <c r="AC46" i="1"/>
  <c r="AD46" i="1"/>
  <c r="AE46" i="1"/>
  <c r="AF46" i="1"/>
  <c r="AG46" i="1"/>
  <c r="AH46" i="1"/>
  <c r="AJ46" i="1"/>
  <c r="AK46" i="1"/>
  <c r="AL46" i="1"/>
  <c r="AO46" i="1"/>
  <c r="AP46" i="1"/>
  <c r="AV46" i="1"/>
  <c r="AW46" i="1"/>
  <c r="AX46" i="1"/>
  <c r="BC46" i="1"/>
  <c r="BD46" i="1"/>
  <c r="BF46" i="1"/>
  <c r="BH46" i="1"/>
  <c r="BI46" i="1"/>
  <c r="BJ46" i="1"/>
  <c r="J47" i="1"/>
  <c r="K47" i="1"/>
  <c r="L47" i="1"/>
  <c r="N47" i="1"/>
  <c r="Z47" i="1"/>
  <c r="AB47" i="1"/>
  <c r="AC47" i="1"/>
  <c r="AD47" i="1"/>
  <c r="AE47" i="1"/>
  <c r="AF47" i="1"/>
  <c r="AG47" i="1"/>
  <c r="AH47" i="1"/>
  <c r="AJ47" i="1"/>
  <c r="AK47" i="1"/>
  <c r="AL47" i="1"/>
  <c r="AO47" i="1"/>
  <c r="AP47" i="1"/>
  <c r="AV47" i="1"/>
  <c r="AW47" i="1"/>
  <c r="AX47" i="1"/>
  <c r="BC47" i="1"/>
  <c r="BD47" i="1"/>
  <c r="BF47" i="1"/>
  <c r="BH47" i="1"/>
  <c r="BI47" i="1"/>
  <c r="BJ47" i="1"/>
  <c r="J48" i="1"/>
  <c r="K48" i="1"/>
  <c r="L48" i="1"/>
  <c r="N48" i="1"/>
  <c r="Z48" i="1"/>
  <c r="AB48" i="1"/>
  <c r="AC48" i="1"/>
  <c r="AD48" i="1"/>
  <c r="AE48" i="1"/>
  <c r="AF48" i="1"/>
  <c r="AG48" i="1"/>
  <c r="AH48" i="1"/>
  <c r="AJ48" i="1"/>
  <c r="AK48" i="1"/>
  <c r="AL48" i="1"/>
  <c r="AO48" i="1"/>
  <c r="AP48" i="1"/>
  <c r="AV48" i="1"/>
  <c r="AW48" i="1"/>
  <c r="AX48" i="1"/>
  <c r="BC48" i="1"/>
  <c r="BD48" i="1"/>
  <c r="BF48" i="1"/>
  <c r="BH48" i="1"/>
  <c r="BI48" i="1"/>
  <c r="BJ48" i="1"/>
  <c r="J49" i="1"/>
  <c r="K49" i="1"/>
  <c r="L49" i="1"/>
  <c r="N49" i="1"/>
  <c r="Z49" i="1"/>
  <c r="AB49" i="1"/>
  <c r="AC49" i="1"/>
  <c r="AD49" i="1"/>
  <c r="AE49" i="1"/>
  <c r="AF49" i="1"/>
  <c r="AG49" i="1"/>
  <c r="AH49" i="1"/>
  <c r="AJ49" i="1"/>
  <c r="AK49" i="1"/>
  <c r="AL49" i="1"/>
  <c r="AO49" i="1"/>
  <c r="AP49" i="1"/>
  <c r="AV49" i="1"/>
  <c r="AW49" i="1"/>
  <c r="AX49" i="1"/>
  <c r="BC49" i="1"/>
  <c r="BD49" i="1"/>
  <c r="BF49" i="1"/>
  <c r="BH49" i="1"/>
  <c r="BI49" i="1"/>
  <c r="BJ49" i="1"/>
  <c r="J50" i="1"/>
  <c r="K50" i="1"/>
  <c r="L50" i="1"/>
  <c r="N50" i="1"/>
  <c r="Z50" i="1"/>
  <c r="AB50" i="1"/>
  <c r="AC50" i="1"/>
  <c r="AD50" i="1"/>
  <c r="AE50" i="1"/>
  <c r="AF50" i="1"/>
  <c r="AG50" i="1"/>
  <c r="AH50" i="1"/>
  <c r="AJ50" i="1"/>
  <c r="AK50" i="1"/>
  <c r="AL50" i="1"/>
  <c r="AO50" i="1"/>
  <c r="AP50" i="1"/>
  <c r="AV50" i="1"/>
  <c r="AW50" i="1"/>
  <c r="AX50" i="1"/>
  <c r="BC50" i="1"/>
  <c r="BD50" i="1"/>
  <c r="BF50" i="1"/>
  <c r="BH50" i="1"/>
  <c r="BI50" i="1"/>
  <c r="BJ50" i="1"/>
  <c r="J51" i="1"/>
  <c r="K51" i="1"/>
  <c r="L51" i="1"/>
  <c r="N51" i="1"/>
  <c r="AS51" i="1"/>
  <c r="AT51" i="1"/>
  <c r="AU51" i="1"/>
  <c r="J52" i="1"/>
  <c r="K52" i="1"/>
  <c r="L52" i="1"/>
  <c r="N52" i="1"/>
  <c r="Z52" i="1"/>
  <c r="AB52" i="1"/>
  <c r="AC52" i="1"/>
  <c r="AD52" i="1"/>
  <c r="AE52" i="1"/>
  <c r="AF52" i="1"/>
  <c r="AG52" i="1"/>
  <c r="AH52" i="1"/>
  <c r="AJ52" i="1"/>
  <c r="AK52" i="1"/>
  <c r="AL52" i="1"/>
  <c r="AO52" i="1"/>
  <c r="AP52" i="1"/>
  <c r="AV52" i="1"/>
  <c r="AW52" i="1"/>
  <c r="AX52" i="1"/>
  <c r="BC52" i="1"/>
  <c r="BD52" i="1"/>
  <c r="BF52" i="1"/>
  <c r="BH52" i="1"/>
  <c r="BI52" i="1"/>
  <c r="BJ52" i="1"/>
  <c r="J54" i="1"/>
  <c r="K54" i="1"/>
  <c r="L54" i="1"/>
  <c r="N54" i="1"/>
  <c r="Z54" i="1"/>
  <c r="AB54" i="1"/>
  <c r="AC54" i="1"/>
  <c r="AD54" i="1"/>
  <c r="AE54" i="1"/>
  <c r="AF54" i="1"/>
  <c r="AG54" i="1"/>
  <c r="AH54" i="1"/>
  <c r="AJ54" i="1"/>
  <c r="AK54" i="1"/>
  <c r="AL54" i="1"/>
  <c r="AO54" i="1"/>
  <c r="AP54" i="1"/>
  <c r="AV54" i="1"/>
  <c r="AW54" i="1"/>
  <c r="AX54" i="1"/>
  <c r="BC54" i="1"/>
  <c r="BD54" i="1"/>
  <c r="BF54" i="1"/>
  <c r="BH54" i="1"/>
  <c r="BI54" i="1"/>
  <c r="BJ54" i="1"/>
  <c r="J57" i="1"/>
  <c r="K57" i="1"/>
  <c r="L57" i="1"/>
  <c r="N57" i="1"/>
  <c r="Z57" i="1"/>
  <c r="AB57" i="1"/>
  <c r="AC57" i="1"/>
  <c r="AD57" i="1"/>
  <c r="AE57" i="1"/>
  <c r="AF57" i="1"/>
  <c r="AG57" i="1"/>
  <c r="AH57" i="1"/>
  <c r="AJ57" i="1"/>
  <c r="AK57" i="1"/>
  <c r="AL57" i="1"/>
  <c r="AO57" i="1"/>
  <c r="AP57" i="1"/>
  <c r="AV57" i="1"/>
  <c r="AW57" i="1"/>
  <c r="AX57" i="1"/>
  <c r="BC57" i="1"/>
  <c r="BD57" i="1"/>
  <c r="BF57" i="1"/>
  <c r="BH57" i="1"/>
  <c r="BI57" i="1"/>
  <c r="BJ57" i="1"/>
  <c r="J59" i="1"/>
  <c r="K59" i="1"/>
  <c r="L59" i="1"/>
  <c r="N59" i="1"/>
  <c r="Z59" i="1"/>
  <c r="AB59" i="1"/>
  <c r="AC59" i="1"/>
  <c r="AD59" i="1"/>
  <c r="AE59" i="1"/>
  <c r="AF59" i="1"/>
  <c r="AG59" i="1"/>
  <c r="AH59" i="1"/>
  <c r="AJ59" i="1"/>
  <c r="AK59" i="1"/>
  <c r="AL59" i="1"/>
  <c r="AO59" i="1"/>
  <c r="AP59" i="1"/>
  <c r="AV59" i="1"/>
  <c r="AW59" i="1"/>
  <c r="AX59" i="1"/>
  <c r="BC59" i="1"/>
  <c r="BD59" i="1"/>
  <c r="BF59" i="1"/>
  <c r="BH59" i="1"/>
  <c r="BI59" i="1"/>
  <c r="BJ59" i="1"/>
  <c r="J61" i="1"/>
  <c r="K61" i="1"/>
  <c r="L61" i="1"/>
  <c r="N61" i="1"/>
  <c r="Z61" i="1"/>
  <c r="AB61" i="1"/>
  <c r="AC61" i="1"/>
  <c r="AD61" i="1"/>
  <c r="AE61" i="1"/>
  <c r="AF61" i="1"/>
  <c r="AG61" i="1"/>
  <c r="AH61" i="1"/>
  <c r="AJ61" i="1"/>
  <c r="AK61" i="1"/>
  <c r="AL61" i="1"/>
  <c r="AO61" i="1"/>
  <c r="AP61" i="1"/>
  <c r="AV61" i="1"/>
  <c r="AW61" i="1"/>
  <c r="AX61" i="1"/>
  <c r="BC61" i="1"/>
  <c r="BD61" i="1"/>
  <c r="BF61" i="1"/>
  <c r="BH61" i="1"/>
  <c r="BI61" i="1"/>
  <c r="BJ61" i="1"/>
  <c r="J63" i="1"/>
  <c r="K63" i="1"/>
  <c r="L63" i="1"/>
  <c r="N63" i="1"/>
  <c r="AS63" i="1"/>
  <c r="AT63" i="1"/>
  <c r="AU63" i="1"/>
  <c r="J64" i="1"/>
  <c r="K64" i="1"/>
  <c r="L64" i="1"/>
  <c r="N64" i="1"/>
  <c r="Z64" i="1"/>
  <c r="AB64" i="1"/>
  <c r="AC64" i="1"/>
  <c r="AD64" i="1"/>
  <c r="AE64" i="1"/>
  <c r="AF64" i="1"/>
  <c r="AG64" i="1"/>
  <c r="AH64" i="1"/>
  <c r="AJ64" i="1"/>
  <c r="AK64" i="1"/>
  <c r="AL64" i="1"/>
  <c r="AO64" i="1"/>
  <c r="AP64" i="1"/>
  <c r="AV64" i="1"/>
  <c r="AW64" i="1"/>
  <c r="AX64" i="1"/>
  <c r="BC64" i="1"/>
  <c r="BD64" i="1"/>
  <c r="BF64" i="1"/>
  <c r="BH64" i="1"/>
  <c r="BI64" i="1"/>
  <c r="BJ64" i="1"/>
  <c r="J65" i="1"/>
  <c r="K65" i="1"/>
  <c r="L65" i="1"/>
  <c r="N65" i="1"/>
  <c r="AS65" i="1"/>
  <c r="AT65" i="1"/>
  <c r="AU65" i="1"/>
  <c r="J66" i="1"/>
  <c r="K66" i="1"/>
  <c r="L66" i="1"/>
  <c r="N66" i="1"/>
  <c r="Z66" i="1"/>
  <c r="AB66" i="1"/>
  <c r="AC66" i="1"/>
  <c r="AD66" i="1"/>
  <c r="AE66" i="1"/>
  <c r="AF66" i="1"/>
  <c r="AG66" i="1"/>
  <c r="AH66" i="1"/>
  <c r="AJ66" i="1"/>
  <c r="AK66" i="1"/>
  <c r="AL66" i="1"/>
  <c r="AO66" i="1"/>
  <c r="AP66" i="1"/>
  <c r="AV66" i="1"/>
  <c r="AW66" i="1"/>
  <c r="AX66" i="1"/>
  <c r="BC66" i="1"/>
  <c r="BD66" i="1"/>
  <c r="BF66" i="1"/>
  <c r="BH66" i="1"/>
  <c r="BI66" i="1"/>
  <c r="BJ66" i="1"/>
  <c r="J68" i="1"/>
  <c r="K68" i="1"/>
  <c r="L68" i="1"/>
  <c r="N68" i="1"/>
  <c r="Z68" i="1"/>
  <c r="AB68" i="1"/>
  <c r="AC68" i="1"/>
  <c r="AD68" i="1"/>
  <c r="AE68" i="1"/>
  <c r="AF68" i="1"/>
  <c r="AG68" i="1"/>
  <c r="AH68" i="1"/>
  <c r="AJ68" i="1"/>
  <c r="AK68" i="1"/>
  <c r="AL68" i="1"/>
  <c r="AO68" i="1"/>
  <c r="AP68" i="1"/>
  <c r="AV68" i="1"/>
  <c r="AW68" i="1"/>
  <c r="AX68" i="1"/>
  <c r="BC68" i="1"/>
  <c r="BD68" i="1"/>
  <c r="BF68" i="1"/>
  <c r="BH68" i="1"/>
  <c r="BI68" i="1"/>
  <c r="BJ68" i="1"/>
  <c r="J70" i="1"/>
  <c r="K70" i="1"/>
  <c r="L70" i="1"/>
  <c r="N70" i="1"/>
  <c r="Z70" i="1"/>
  <c r="AB70" i="1"/>
  <c r="AC70" i="1"/>
  <c r="AD70" i="1"/>
  <c r="AE70" i="1"/>
  <c r="AF70" i="1"/>
  <c r="AG70" i="1"/>
  <c r="AH70" i="1"/>
  <c r="AJ70" i="1"/>
  <c r="AK70" i="1"/>
  <c r="AL70" i="1"/>
  <c r="AO70" i="1"/>
  <c r="AP70" i="1"/>
  <c r="AV70" i="1"/>
  <c r="AW70" i="1"/>
  <c r="AX70" i="1"/>
  <c r="BC70" i="1"/>
  <c r="BD70" i="1"/>
  <c r="BF70" i="1"/>
  <c r="BH70" i="1"/>
  <c r="BI70" i="1"/>
  <c r="BJ70" i="1"/>
  <c r="J72" i="1"/>
  <c r="K72" i="1"/>
  <c r="L72" i="1"/>
  <c r="N72" i="1"/>
  <c r="Z72" i="1"/>
  <c r="AB72" i="1"/>
  <c r="AC72" i="1"/>
  <c r="AD72" i="1"/>
  <c r="AE72" i="1"/>
  <c r="AF72" i="1"/>
  <c r="AG72" i="1"/>
  <c r="AH72" i="1"/>
  <c r="AJ72" i="1"/>
  <c r="AK72" i="1"/>
  <c r="AL72" i="1"/>
  <c r="AO72" i="1"/>
  <c r="AP72" i="1"/>
  <c r="AV72" i="1"/>
  <c r="AW72" i="1"/>
  <c r="AX72" i="1"/>
  <c r="BC72" i="1"/>
  <c r="BD72" i="1"/>
  <c r="BF72" i="1"/>
  <c r="BH72" i="1"/>
  <c r="BI72" i="1"/>
  <c r="BJ72" i="1"/>
  <c r="J74" i="1"/>
  <c r="K74" i="1"/>
  <c r="L74" i="1"/>
  <c r="N74" i="1"/>
  <c r="Z74" i="1"/>
  <c r="AB74" i="1"/>
  <c r="AC74" i="1"/>
  <c r="AD74" i="1"/>
  <c r="AE74" i="1"/>
  <c r="AF74" i="1"/>
  <c r="AG74" i="1"/>
  <c r="AH74" i="1"/>
  <c r="AJ74" i="1"/>
  <c r="AK74" i="1"/>
  <c r="AL74" i="1"/>
  <c r="AO74" i="1"/>
  <c r="AP74" i="1"/>
  <c r="AV74" i="1"/>
  <c r="AW74" i="1"/>
  <c r="AX74" i="1"/>
  <c r="BC74" i="1"/>
  <c r="BD74" i="1"/>
  <c r="BF74" i="1"/>
  <c r="BH74" i="1"/>
  <c r="BI74" i="1"/>
  <c r="BJ74" i="1"/>
  <c r="J76" i="1"/>
  <c r="K76" i="1"/>
  <c r="L76" i="1"/>
  <c r="N76" i="1"/>
  <c r="Z76" i="1"/>
  <c r="AB76" i="1"/>
  <c r="AC76" i="1"/>
  <c r="AD76" i="1"/>
  <c r="AE76" i="1"/>
  <c r="AF76" i="1"/>
  <c r="AG76" i="1"/>
  <c r="AH76" i="1"/>
  <c r="AJ76" i="1"/>
  <c r="AK76" i="1"/>
  <c r="AL76" i="1"/>
  <c r="AO76" i="1"/>
  <c r="AP76" i="1"/>
  <c r="AV76" i="1"/>
  <c r="AW76" i="1"/>
  <c r="AX76" i="1"/>
  <c r="BC76" i="1"/>
  <c r="BD76" i="1"/>
  <c r="BF76" i="1"/>
  <c r="BH76" i="1"/>
  <c r="BI76" i="1"/>
  <c r="BJ76" i="1"/>
  <c r="J78" i="1"/>
  <c r="K78" i="1"/>
  <c r="L78" i="1"/>
  <c r="N78" i="1"/>
  <c r="AS78" i="1"/>
  <c r="AT78" i="1"/>
  <c r="AU78" i="1"/>
  <c r="J79" i="1"/>
  <c r="K79" i="1"/>
  <c r="L79" i="1"/>
  <c r="N79" i="1"/>
  <c r="Z79" i="1"/>
  <c r="AB79" i="1"/>
  <c r="AC79" i="1"/>
  <c r="AD79" i="1"/>
  <c r="AE79" i="1"/>
  <c r="AF79" i="1"/>
  <c r="AG79" i="1"/>
  <c r="AH79" i="1"/>
  <c r="AJ79" i="1"/>
  <c r="AK79" i="1"/>
  <c r="AL79" i="1"/>
  <c r="AO79" i="1"/>
  <c r="AP79" i="1"/>
  <c r="AV79" i="1"/>
  <c r="AW79" i="1"/>
  <c r="AX79" i="1"/>
  <c r="BC79" i="1"/>
  <c r="BD79" i="1"/>
  <c r="BF79" i="1"/>
  <c r="BH79" i="1"/>
  <c r="BI79" i="1"/>
  <c r="BJ79" i="1"/>
  <c r="J81" i="1"/>
  <c r="K81" i="1"/>
  <c r="L81" i="1"/>
  <c r="N81" i="1"/>
  <c r="Z81" i="1"/>
  <c r="AB81" i="1"/>
  <c r="AC81" i="1"/>
  <c r="AD81" i="1"/>
  <c r="AE81" i="1"/>
  <c r="AF81" i="1"/>
  <c r="AG81" i="1"/>
  <c r="AH81" i="1"/>
  <c r="AJ81" i="1"/>
  <c r="AK81" i="1"/>
  <c r="AL81" i="1"/>
  <c r="AO81" i="1"/>
  <c r="AP81" i="1"/>
  <c r="AV81" i="1"/>
  <c r="AW81" i="1"/>
  <c r="AX81" i="1"/>
  <c r="BC81" i="1"/>
  <c r="BD81" i="1"/>
  <c r="BF81" i="1"/>
  <c r="BH81" i="1"/>
  <c r="BI81" i="1"/>
  <c r="BJ81" i="1"/>
  <c r="J83" i="1"/>
  <c r="K83" i="1"/>
  <c r="L83" i="1"/>
  <c r="N83" i="1"/>
  <c r="Z83" i="1"/>
  <c r="AB83" i="1"/>
  <c r="AC83" i="1"/>
  <c r="AD83" i="1"/>
  <c r="AE83" i="1"/>
  <c r="AF83" i="1"/>
  <c r="AG83" i="1"/>
  <c r="AH83" i="1"/>
  <c r="AJ83" i="1"/>
  <c r="AK83" i="1"/>
  <c r="AL83" i="1"/>
  <c r="AO83" i="1"/>
  <c r="AP83" i="1"/>
  <c r="AV83" i="1"/>
  <c r="AW83" i="1"/>
  <c r="AX83" i="1"/>
  <c r="BC83" i="1"/>
  <c r="BD83" i="1"/>
  <c r="BF83" i="1"/>
  <c r="BH83" i="1"/>
  <c r="BI83" i="1"/>
  <c r="BJ83" i="1"/>
  <c r="J85" i="1"/>
  <c r="K85" i="1"/>
  <c r="L85" i="1"/>
  <c r="N85" i="1"/>
  <c r="Z85" i="1"/>
  <c r="AB85" i="1"/>
  <c r="AC85" i="1"/>
  <c r="AD85" i="1"/>
  <c r="AE85" i="1"/>
  <c r="AF85" i="1"/>
  <c r="AG85" i="1"/>
  <c r="AH85" i="1"/>
  <c r="AJ85" i="1"/>
  <c r="AK85" i="1"/>
  <c r="AL85" i="1"/>
  <c r="AO85" i="1"/>
  <c r="AP85" i="1"/>
  <c r="AV85" i="1"/>
  <c r="AW85" i="1"/>
  <c r="AX85" i="1"/>
  <c r="BC85" i="1"/>
  <c r="BD85" i="1"/>
  <c r="BF85" i="1"/>
  <c r="BH85" i="1"/>
  <c r="BI85" i="1"/>
  <c r="BJ85" i="1"/>
  <c r="J86" i="1"/>
  <c r="K86" i="1"/>
  <c r="L86" i="1"/>
  <c r="N86" i="1"/>
  <c r="AS86" i="1"/>
  <c r="AT86" i="1"/>
  <c r="AU86" i="1"/>
  <c r="J87" i="1"/>
  <c r="K87" i="1"/>
  <c r="L87" i="1"/>
  <c r="N87" i="1"/>
  <c r="Z87" i="1"/>
  <c r="AB87" i="1"/>
  <c r="AC87" i="1"/>
  <c r="AD87" i="1"/>
  <c r="AE87" i="1"/>
  <c r="AF87" i="1"/>
  <c r="AG87" i="1"/>
  <c r="AH87" i="1"/>
  <c r="AJ87" i="1"/>
  <c r="AK87" i="1"/>
  <c r="AL87" i="1"/>
  <c r="AO87" i="1"/>
  <c r="AP87" i="1"/>
  <c r="AV87" i="1"/>
  <c r="AW87" i="1"/>
  <c r="AX87" i="1"/>
  <c r="BC87" i="1"/>
  <c r="BD87" i="1"/>
  <c r="BF87" i="1"/>
  <c r="BH87" i="1"/>
  <c r="BI87" i="1"/>
  <c r="BJ87" i="1"/>
  <c r="J88" i="1"/>
  <c r="K88" i="1"/>
  <c r="L88" i="1"/>
  <c r="N88" i="1"/>
  <c r="AS88" i="1"/>
  <c r="AT88" i="1"/>
  <c r="AU88" i="1"/>
  <c r="J89" i="1"/>
  <c r="K89" i="1"/>
  <c r="L89" i="1"/>
  <c r="N89" i="1"/>
  <c r="Z89" i="1"/>
  <c r="AB89" i="1"/>
  <c r="AC89" i="1"/>
  <c r="AD89" i="1"/>
  <c r="AE89" i="1"/>
  <c r="AF89" i="1"/>
  <c r="AG89" i="1"/>
  <c r="AH89" i="1"/>
  <c r="AJ89" i="1"/>
  <c r="AK89" i="1"/>
  <c r="AL89" i="1"/>
  <c r="AO89" i="1"/>
  <c r="AP89" i="1"/>
  <c r="AV89" i="1"/>
  <c r="AW89" i="1"/>
  <c r="AX89" i="1"/>
  <c r="BC89" i="1"/>
  <c r="BD89" i="1"/>
  <c r="BF89" i="1"/>
  <c r="BH89" i="1"/>
  <c r="BI89" i="1"/>
  <c r="BJ89" i="1"/>
  <c r="J91" i="1"/>
  <c r="K91" i="1"/>
  <c r="L91" i="1"/>
  <c r="N91" i="1"/>
  <c r="Z91" i="1"/>
  <c r="AB91" i="1"/>
  <c r="AC91" i="1"/>
  <c r="AD91" i="1"/>
  <c r="AE91" i="1"/>
  <c r="AF91" i="1"/>
  <c r="AG91" i="1"/>
  <c r="AH91" i="1"/>
  <c r="AJ91" i="1"/>
  <c r="AK91" i="1"/>
  <c r="AL91" i="1"/>
  <c r="AO91" i="1"/>
  <c r="AP91" i="1"/>
  <c r="AV91" i="1"/>
  <c r="AW91" i="1"/>
  <c r="AX91" i="1"/>
  <c r="BC91" i="1"/>
  <c r="BD91" i="1"/>
  <c r="BF91" i="1"/>
  <c r="BH91" i="1"/>
  <c r="BI91" i="1"/>
  <c r="BJ91" i="1"/>
  <c r="J92" i="1"/>
  <c r="K92" i="1"/>
  <c r="L92" i="1"/>
  <c r="N92" i="1"/>
  <c r="AS92" i="1"/>
  <c r="AT92" i="1"/>
  <c r="AU92" i="1"/>
  <c r="J93" i="1"/>
  <c r="K93" i="1"/>
  <c r="L93" i="1"/>
  <c r="N93" i="1"/>
  <c r="Z93" i="1"/>
  <c r="AB93" i="1"/>
  <c r="AC93" i="1"/>
  <c r="AD93" i="1"/>
  <c r="AE93" i="1"/>
  <c r="AF93" i="1"/>
  <c r="AG93" i="1"/>
  <c r="AH93" i="1"/>
  <c r="AJ93" i="1"/>
  <c r="AK93" i="1"/>
  <c r="AL93" i="1"/>
  <c r="AO93" i="1"/>
  <c r="AP93" i="1"/>
  <c r="AV93" i="1"/>
  <c r="AW93" i="1"/>
  <c r="AX93" i="1"/>
  <c r="BC93" i="1"/>
  <c r="BD93" i="1"/>
  <c r="BF93" i="1"/>
  <c r="BH93" i="1"/>
  <c r="BI93" i="1"/>
  <c r="BJ93" i="1"/>
  <c r="J94" i="1"/>
  <c r="K94" i="1"/>
  <c r="L94" i="1"/>
  <c r="N94" i="1"/>
  <c r="Z94" i="1"/>
  <c r="AB94" i="1"/>
  <c r="AC94" i="1"/>
  <c r="AD94" i="1"/>
  <c r="AE94" i="1"/>
  <c r="AF94" i="1"/>
  <c r="AG94" i="1"/>
  <c r="AH94" i="1"/>
  <c r="AJ94" i="1"/>
  <c r="AK94" i="1"/>
  <c r="AL94" i="1"/>
  <c r="AO94" i="1"/>
  <c r="AP94" i="1"/>
  <c r="AV94" i="1"/>
  <c r="AW94" i="1"/>
  <c r="AX94" i="1"/>
  <c r="BC94" i="1"/>
  <c r="BD94" i="1"/>
  <c r="BF94" i="1"/>
  <c r="BH94" i="1"/>
  <c r="BI94" i="1"/>
  <c r="BJ94" i="1"/>
  <c r="J95" i="1"/>
  <c r="K95" i="1"/>
  <c r="L95" i="1"/>
  <c r="N95" i="1"/>
  <c r="Z95" i="1"/>
  <c r="AB95" i="1"/>
  <c r="AC95" i="1"/>
  <c r="AD95" i="1"/>
  <c r="AE95" i="1"/>
  <c r="AF95" i="1"/>
  <c r="AG95" i="1"/>
  <c r="AH95" i="1"/>
  <c r="AJ95" i="1"/>
  <c r="AK95" i="1"/>
  <c r="AL95" i="1"/>
  <c r="AO95" i="1"/>
  <c r="AP95" i="1"/>
  <c r="AV95" i="1"/>
  <c r="AW95" i="1"/>
  <c r="AX95" i="1"/>
  <c r="BC95" i="1"/>
  <c r="BD95" i="1"/>
  <c r="BF95" i="1"/>
  <c r="BH95" i="1"/>
  <c r="BI95" i="1"/>
  <c r="BJ95" i="1"/>
  <c r="J96" i="1"/>
  <c r="K96" i="1"/>
  <c r="L96" i="1"/>
  <c r="N96" i="1"/>
  <c r="Z96" i="1"/>
  <c r="AB96" i="1"/>
  <c r="AC96" i="1"/>
  <c r="AD96" i="1"/>
  <c r="AE96" i="1"/>
  <c r="AF96" i="1"/>
  <c r="AG96" i="1"/>
  <c r="AH96" i="1"/>
  <c r="AJ96" i="1"/>
  <c r="AK96" i="1"/>
  <c r="AL96" i="1"/>
  <c r="AO96" i="1"/>
  <c r="AP96" i="1"/>
  <c r="AV96" i="1"/>
  <c r="AW96" i="1"/>
  <c r="AX96" i="1"/>
  <c r="BC96" i="1"/>
  <c r="BD96" i="1"/>
  <c r="BF96" i="1"/>
  <c r="BH96" i="1"/>
  <c r="BI96" i="1"/>
  <c r="BJ96" i="1"/>
  <c r="J97" i="1"/>
  <c r="K97" i="1"/>
  <c r="L97" i="1"/>
  <c r="N97" i="1"/>
  <c r="Z97" i="1"/>
  <c r="AB97" i="1"/>
  <c r="AC97" i="1"/>
  <c r="AD97" i="1"/>
  <c r="AE97" i="1"/>
  <c r="AF97" i="1"/>
  <c r="AG97" i="1"/>
  <c r="AH97" i="1"/>
  <c r="AJ97" i="1"/>
  <c r="AK97" i="1"/>
  <c r="AL97" i="1"/>
  <c r="AO97" i="1"/>
  <c r="AP97" i="1"/>
  <c r="AV97" i="1"/>
  <c r="AW97" i="1"/>
  <c r="AX97" i="1"/>
  <c r="BC97" i="1"/>
  <c r="BD97" i="1"/>
  <c r="BF97" i="1"/>
  <c r="BH97" i="1"/>
  <c r="BI97" i="1"/>
  <c r="BJ97" i="1"/>
  <c r="J98" i="1"/>
  <c r="K98" i="1"/>
  <c r="L98" i="1"/>
  <c r="N98" i="1"/>
  <c r="Z98" i="1"/>
  <c r="AB98" i="1"/>
  <c r="AC98" i="1"/>
  <c r="AD98" i="1"/>
  <c r="AE98" i="1"/>
  <c r="AF98" i="1"/>
  <c r="AG98" i="1"/>
  <c r="AH98" i="1"/>
  <c r="AJ98" i="1"/>
  <c r="AK98" i="1"/>
  <c r="AL98" i="1"/>
  <c r="AO98" i="1"/>
  <c r="AP98" i="1"/>
  <c r="AV98" i="1"/>
  <c r="AW98" i="1"/>
  <c r="AX98" i="1"/>
  <c r="BC98" i="1"/>
  <c r="BD98" i="1"/>
  <c r="BF98" i="1"/>
  <c r="BH98" i="1"/>
  <c r="BI98" i="1"/>
  <c r="BJ98" i="1"/>
  <c r="J99" i="1"/>
  <c r="K99" i="1"/>
  <c r="L99" i="1"/>
  <c r="N99" i="1"/>
  <c r="Z99" i="1"/>
  <c r="AB99" i="1"/>
  <c r="AC99" i="1"/>
  <c r="AD99" i="1"/>
  <c r="AE99" i="1"/>
  <c r="AF99" i="1"/>
  <c r="AG99" i="1"/>
  <c r="AH99" i="1"/>
  <c r="AJ99" i="1"/>
  <c r="AK99" i="1"/>
  <c r="AL99" i="1"/>
  <c r="AO99" i="1"/>
  <c r="AP99" i="1"/>
  <c r="AV99" i="1"/>
  <c r="AW99" i="1"/>
  <c r="AX99" i="1"/>
  <c r="BC99" i="1"/>
  <c r="BD99" i="1"/>
  <c r="BF99" i="1"/>
  <c r="BH99" i="1"/>
  <c r="BI99" i="1"/>
  <c r="BJ99" i="1"/>
  <c r="J100" i="1"/>
  <c r="K100" i="1"/>
  <c r="L100" i="1"/>
  <c r="N100" i="1"/>
  <c r="AS100" i="1"/>
  <c r="AT100" i="1"/>
  <c r="AU100" i="1"/>
  <c r="J101" i="1"/>
  <c r="K101" i="1"/>
  <c r="L101" i="1"/>
  <c r="N101" i="1"/>
  <c r="Z101" i="1"/>
  <c r="AB101" i="1"/>
  <c r="AC101" i="1"/>
  <c r="AD101" i="1"/>
  <c r="AE101" i="1"/>
  <c r="AF101" i="1"/>
  <c r="AG101" i="1"/>
  <c r="AH101" i="1"/>
  <c r="AJ101" i="1"/>
  <c r="AK101" i="1"/>
  <c r="AL101" i="1"/>
  <c r="AO101" i="1"/>
  <c r="AP101" i="1"/>
  <c r="AV101" i="1"/>
  <c r="AW101" i="1"/>
  <c r="AX101" i="1"/>
  <c r="BC101" i="1"/>
  <c r="BD101" i="1"/>
  <c r="BF101" i="1"/>
  <c r="BH101" i="1"/>
  <c r="BI101" i="1"/>
  <c r="BJ101" i="1"/>
  <c r="J102" i="1"/>
  <c r="K102" i="1"/>
  <c r="L102" i="1"/>
  <c r="N102" i="1"/>
  <c r="Z102" i="1"/>
  <c r="AB102" i="1"/>
  <c r="AC102" i="1"/>
  <c r="AD102" i="1"/>
  <c r="AE102" i="1"/>
  <c r="AF102" i="1"/>
  <c r="AG102" i="1"/>
  <c r="AH102" i="1"/>
  <c r="AJ102" i="1"/>
  <c r="AK102" i="1"/>
  <c r="AL102" i="1"/>
  <c r="AO102" i="1"/>
  <c r="AP102" i="1"/>
  <c r="AV102" i="1"/>
  <c r="AW102" i="1"/>
  <c r="AX102" i="1"/>
  <c r="BC102" i="1"/>
  <c r="BD102" i="1"/>
  <c r="BF102" i="1"/>
  <c r="BH102" i="1"/>
  <c r="BI102" i="1"/>
  <c r="BJ102" i="1"/>
  <c r="J103" i="1"/>
  <c r="K103" i="1"/>
  <c r="L103" i="1"/>
  <c r="N103" i="1"/>
  <c r="Z103" i="1"/>
  <c r="AB103" i="1"/>
  <c r="AC103" i="1"/>
  <c r="AD103" i="1"/>
  <c r="AE103" i="1"/>
  <c r="AF103" i="1"/>
  <c r="AG103" i="1"/>
  <c r="AH103" i="1"/>
  <c r="AJ103" i="1"/>
  <c r="AK103" i="1"/>
  <c r="AL103" i="1"/>
  <c r="AO103" i="1"/>
  <c r="AP103" i="1"/>
  <c r="AV103" i="1"/>
  <c r="AW103" i="1"/>
  <c r="AX103" i="1"/>
  <c r="BC103" i="1"/>
  <c r="BD103" i="1"/>
  <c r="BF103" i="1"/>
  <c r="BH103" i="1"/>
  <c r="BI103" i="1"/>
  <c r="BJ103" i="1"/>
  <c r="J104" i="1"/>
  <c r="K104" i="1"/>
  <c r="L104" i="1"/>
  <c r="N104" i="1"/>
  <c r="Z104" i="1"/>
  <c r="AB104" i="1"/>
  <c r="AC104" i="1"/>
  <c r="AD104" i="1"/>
  <c r="AE104" i="1"/>
  <c r="AF104" i="1"/>
  <c r="AG104" i="1"/>
  <c r="AH104" i="1"/>
  <c r="AJ104" i="1"/>
  <c r="AK104" i="1"/>
  <c r="AL104" i="1"/>
  <c r="AO104" i="1"/>
  <c r="AP104" i="1"/>
  <c r="AV104" i="1"/>
  <c r="AW104" i="1"/>
  <c r="AX104" i="1"/>
  <c r="BC104" i="1"/>
  <c r="BD104" i="1"/>
  <c r="BF104" i="1"/>
  <c r="BH104" i="1"/>
  <c r="BI104" i="1"/>
  <c r="BJ104" i="1"/>
  <c r="J105" i="1"/>
  <c r="K105" i="1"/>
  <c r="L105" i="1"/>
  <c r="N105" i="1"/>
  <c r="Z105" i="1"/>
  <c r="AB105" i="1"/>
  <c r="AC105" i="1"/>
  <c r="AD105" i="1"/>
  <c r="AE105" i="1"/>
  <c r="AF105" i="1"/>
  <c r="AG105" i="1"/>
  <c r="AH105" i="1"/>
  <c r="AJ105" i="1"/>
  <c r="AK105" i="1"/>
  <c r="AL105" i="1"/>
  <c r="AO105" i="1"/>
  <c r="AP105" i="1"/>
  <c r="AV105" i="1"/>
  <c r="AW105" i="1"/>
  <c r="AX105" i="1"/>
  <c r="BC105" i="1"/>
  <c r="BD105" i="1"/>
  <c r="BF105" i="1"/>
  <c r="BH105" i="1"/>
  <c r="BI105" i="1"/>
  <c r="BJ105" i="1"/>
  <c r="J106" i="1"/>
  <c r="K106" i="1"/>
  <c r="L106" i="1"/>
  <c r="N106" i="1"/>
  <c r="Z106" i="1"/>
  <c r="AB106" i="1"/>
  <c r="AC106" i="1"/>
  <c r="AD106" i="1"/>
  <c r="AE106" i="1"/>
  <c r="AF106" i="1"/>
  <c r="AG106" i="1"/>
  <c r="AH106" i="1"/>
  <c r="AJ106" i="1"/>
  <c r="AK106" i="1"/>
  <c r="AL106" i="1"/>
  <c r="AO106" i="1"/>
  <c r="AP106" i="1"/>
  <c r="AV106" i="1"/>
  <c r="AW106" i="1"/>
  <c r="AX106" i="1"/>
  <c r="BC106" i="1"/>
  <c r="BD106" i="1"/>
  <c r="BF106" i="1"/>
  <c r="BH106" i="1"/>
  <c r="BI106" i="1"/>
  <c r="BJ106" i="1"/>
  <c r="J107" i="1"/>
  <c r="K107" i="1"/>
  <c r="L107" i="1"/>
  <c r="N107" i="1"/>
  <c r="Z107" i="1"/>
  <c r="AB107" i="1"/>
  <c r="AC107" i="1"/>
  <c r="AD107" i="1"/>
  <c r="AE107" i="1"/>
  <c r="AF107" i="1"/>
  <c r="AG107" i="1"/>
  <c r="AH107" i="1"/>
  <c r="AJ107" i="1"/>
  <c r="AK107" i="1"/>
  <c r="AL107" i="1"/>
  <c r="AO107" i="1"/>
  <c r="AP107" i="1"/>
  <c r="AV107" i="1"/>
  <c r="AW107" i="1"/>
  <c r="AX107" i="1"/>
  <c r="BC107" i="1"/>
  <c r="BD107" i="1"/>
  <c r="BF107" i="1"/>
  <c r="BH107" i="1"/>
  <c r="BI107" i="1"/>
  <c r="BJ107" i="1"/>
  <c r="J108" i="1"/>
  <c r="K108" i="1"/>
  <c r="L108" i="1"/>
  <c r="N108" i="1"/>
  <c r="Z108" i="1"/>
  <c r="AB108" i="1"/>
  <c r="AC108" i="1"/>
  <c r="AD108" i="1"/>
  <c r="AE108" i="1"/>
  <c r="AF108" i="1"/>
  <c r="AG108" i="1"/>
  <c r="AH108" i="1"/>
  <c r="AJ108" i="1"/>
  <c r="AK108" i="1"/>
  <c r="AL108" i="1"/>
  <c r="AO108" i="1"/>
  <c r="AP108" i="1"/>
  <c r="AV108" i="1"/>
  <c r="AW108" i="1"/>
  <c r="AX108" i="1"/>
  <c r="BC108" i="1"/>
  <c r="BD108" i="1"/>
  <c r="BF108" i="1"/>
  <c r="BH108" i="1"/>
  <c r="BI108" i="1"/>
  <c r="BJ108" i="1"/>
  <c r="J109" i="1"/>
  <c r="K109" i="1"/>
  <c r="L109" i="1"/>
  <c r="N109" i="1"/>
  <c r="Z109" i="1"/>
  <c r="AB109" i="1"/>
  <c r="AC109" i="1"/>
  <c r="AD109" i="1"/>
  <c r="AE109" i="1"/>
  <c r="AF109" i="1"/>
  <c r="AG109" i="1"/>
  <c r="AH109" i="1"/>
  <c r="AJ109" i="1"/>
  <c r="AK109" i="1"/>
  <c r="AL109" i="1"/>
  <c r="AO109" i="1"/>
  <c r="AP109" i="1"/>
  <c r="AV109" i="1"/>
  <c r="AW109" i="1"/>
  <c r="AX109" i="1"/>
  <c r="BC109" i="1"/>
  <c r="BD109" i="1"/>
  <c r="BF109" i="1"/>
  <c r="BH109" i="1"/>
  <c r="BI109" i="1"/>
  <c r="BJ109" i="1"/>
  <c r="J110" i="1"/>
  <c r="K110" i="1"/>
  <c r="L110" i="1"/>
  <c r="N110" i="1"/>
  <c r="Z110" i="1"/>
  <c r="AB110" i="1"/>
  <c r="AC110" i="1"/>
  <c r="AD110" i="1"/>
  <c r="AE110" i="1"/>
  <c r="AF110" i="1"/>
  <c r="AG110" i="1"/>
  <c r="AH110" i="1"/>
  <c r="AJ110" i="1"/>
  <c r="AK110" i="1"/>
  <c r="AL110" i="1"/>
  <c r="AO110" i="1"/>
  <c r="AP110" i="1"/>
  <c r="AV110" i="1"/>
  <c r="AW110" i="1"/>
  <c r="AX110" i="1"/>
  <c r="BC110" i="1"/>
  <c r="BD110" i="1"/>
  <c r="BF110" i="1"/>
  <c r="BH110" i="1"/>
  <c r="BI110" i="1"/>
  <c r="BJ110" i="1"/>
  <c r="J111" i="1"/>
  <c r="K111" i="1"/>
  <c r="L111" i="1"/>
  <c r="N111" i="1"/>
  <c r="Z111" i="1"/>
  <c r="AB111" i="1"/>
  <c r="AC111" i="1"/>
  <c r="AD111" i="1"/>
  <c r="AE111" i="1"/>
  <c r="AF111" i="1"/>
  <c r="AG111" i="1"/>
  <c r="AH111" i="1"/>
  <c r="AJ111" i="1"/>
  <c r="AK111" i="1"/>
  <c r="AL111" i="1"/>
  <c r="AO111" i="1"/>
  <c r="AP111" i="1"/>
  <c r="AV111" i="1"/>
  <c r="AW111" i="1"/>
  <c r="AX111" i="1"/>
  <c r="BC111" i="1"/>
  <c r="BD111" i="1"/>
  <c r="BF111" i="1"/>
  <c r="BH111" i="1"/>
  <c r="BI111" i="1"/>
  <c r="BJ111" i="1"/>
  <c r="J112" i="1"/>
  <c r="K112" i="1"/>
  <c r="L112" i="1"/>
  <c r="N112" i="1"/>
  <c r="Z112" i="1"/>
  <c r="AB112" i="1"/>
  <c r="AC112" i="1"/>
  <c r="AD112" i="1"/>
  <c r="AE112" i="1"/>
  <c r="AF112" i="1"/>
  <c r="AG112" i="1"/>
  <c r="AH112" i="1"/>
  <c r="AJ112" i="1"/>
  <c r="AK112" i="1"/>
  <c r="AL112" i="1"/>
  <c r="AO112" i="1"/>
  <c r="AP112" i="1"/>
  <c r="AV112" i="1"/>
  <c r="AW112" i="1"/>
  <c r="AX112" i="1"/>
  <c r="BC112" i="1"/>
  <c r="BD112" i="1"/>
  <c r="BF112" i="1"/>
  <c r="BH112" i="1"/>
  <c r="BI112" i="1"/>
  <c r="BJ112" i="1"/>
  <c r="J113" i="1"/>
  <c r="K113" i="1"/>
  <c r="L113" i="1"/>
  <c r="N113" i="1"/>
  <c r="Z113" i="1"/>
  <c r="AB113" i="1"/>
  <c r="AC113" i="1"/>
  <c r="AD113" i="1"/>
  <c r="AE113" i="1"/>
  <c r="AF113" i="1"/>
  <c r="AG113" i="1"/>
  <c r="AH113" i="1"/>
  <c r="AJ113" i="1"/>
  <c r="AK113" i="1"/>
  <c r="AL113" i="1"/>
  <c r="AO113" i="1"/>
  <c r="AP113" i="1"/>
  <c r="AV113" i="1"/>
  <c r="AW113" i="1"/>
  <c r="AX113" i="1"/>
  <c r="BC113" i="1"/>
  <c r="BD113" i="1"/>
  <c r="BF113" i="1"/>
  <c r="BH113" i="1"/>
  <c r="BI113" i="1"/>
  <c r="BJ113" i="1"/>
  <c r="J114" i="1"/>
  <c r="K114" i="1"/>
  <c r="L114" i="1"/>
  <c r="N114" i="1"/>
  <c r="AS114" i="1"/>
  <c r="AT114" i="1"/>
  <c r="AU114" i="1"/>
  <c r="J115" i="1"/>
  <c r="K115" i="1"/>
  <c r="L115" i="1"/>
  <c r="N115" i="1"/>
  <c r="Z115" i="1"/>
  <c r="AB115" i="1"/>
  <c r="AC115" i="1"/>
  <c r="AD115" i="1"/>
  <c r="AE115" i="1"/>
  <c r="AF115" i="1"/>
  <c r="AG115" i="1"/>
  <c r="AH115" i="1"/>
  <c r="AJ115" i="1"/>
  <c r="AK115" i="1"/>
  <c r="AL115" i="1"/>
  <c r="AO115" i="1"/>
  <c r="AP115" i="1"/>
  <c r="AV115" i="1"/>
  <c r="AW115" i="1"/>
  <c r="AX115" i="1"/>
  <c r="BC115" i="1"/>
  <c r="BD115" i="1"/>
  <c r="BF115" i="1"/>
  <c r="BH115" i="1"/>
  <c r="BI115" i="1"/>
  <c r="BJ115" i="1"/>
  <c r="J116" i="1"/>
  <c r="K116" i="1"/>
  <c r="L116" i="1"/>
  <c r="N116" i="1"/>
  <c r="Z116" i="1"/>
  <c r="AB116" i="1"/>
  <c r="AC116" i="1"/>
  <c r="AD116" i="1"/>
  <c r="AE116" i="1"/>
  <c r="AF116" i="1"/>
  <c r="AG116" i="1"/>
  <c r="AH116" i="1"/>
  <c r="AJ116" i="1"/>
  <c r="AK116" i="1"/>
  <c r="AL116" i="1"/>
  <c r="AO116" i="1"/>
  <c r="AP116" i="1"/>
  <c r="AV116" i="1"/>
  <c r="AW116" i="1"/>
  <c r="AX116" i="1"/>
  <c r="BC116" i="1"/>
  <c r="BD116" i="1"/>
  <c r="BF116" i="1"/>
  <c r="BH116" i="1"/>
  <c r="BI116" i="1"/>
  <c r="BJ116" i="1"/>
  <c r="J117" i="1"/>
  <c r="K117" i="1"/>
  <c r="L117" i="1"/>
  <c r="N117" i="1"/>
  <c r="Z117" i="1"/>
  <c r="AB117" i="1"/>
  <c r="AC117" i="1"/>
  <c r="AD117" i="1"/>
  <c r="AE117" i="1"/>
  <c r="AF117" i="1"/>
  <c r="AG117" i="1"/>
  <c r="AH117" i="1"/>
  <c r="AJ117" i="1"/>
  <c r="AK117" i="1"/>
  <c r="AL117" i="1"/>
  <c r="AO117" i="1"/>
  <c r="AP117" i="1"/>
  <c r="AV117" i="1"/>
  <c r="AW117" i="1"/>
  <c r="AX117" i="1"/>
  <c r="BC117" i="1"/>
  <c r="BD117" i="1"/>
  <c r="BF117" i="1"/>
  <c r="BH117" i="1"/>
  <c r="BI117" i="1"/>
  <c r="BJ117" i="1"/>
  <c r="J118" i="1"/>
  <c r="K118" i="1"/>
  <c r="L118" i="1"/>
  <c r="N118" i="1"/>
  <c r="Z118" i="1"/>
  <c r="AB118" i="1"/>
  <c r="AC118" i="1"/>
  <c r="AD118" i="1"/>
  <c r="AE118" i="1"/>
  <c r="AF118" i="1"/>
  <c r="AG118" i="1"/>
  <c r="AH118" i="1"/>
  <c r="AJ118" i="1"/>
  <c r="AK118" i="1"/>
  <c r="AL118" i="1"/>
  <c r="AO118" i="1"/>
  <c r="AP118" i="1"/>
  <c r="AV118" i="1"/>
  <c r="AW118" i="1"/>
  <c r="AX118" i="1"/>
  <c r="BC118" i="1"/>
  <c r="BD118" i="1"/>
  <c r="BF118" i="1"/>
  <c r="BH118" i="1"/>
  <c r="BI118" i="1"/>
  <c r="BJ118" i="1"/>
  <c r="J119" i="1"/>
  <c r="K119" i="1"/>
  <c r="L119" i="1"/>
  <c r="N119" i="1"/>
  <c r="Z119" i="1"/>
  <c r="AB119" i="1"/>
  <c r="AC119" i="1"/>
  <c r="AD119" i="1"/>
  <c r="AE119" i="1"/>
  <c r="AF119" i="1"/>
  <c r="AG119" i="1"/>
  <c r="AH119" i="1"/>
  <c r="AJ119" i="1"/>
  <c r="AK119" i="1"/>
  <c r="AL119" i="1"/>
  <c r="AO119" i="1"/>
  <c r="AP119" i="1"/>
  <c r="AV119" i="1"/>
  <c r="AW119" i="1"/>
  <c r="AX119" i="1"/>
  <c r="BC119" i="1"/>
  <c r="BD119" i="1"/>
  <c r="BF119" i="1"/>
  <c r="BH119" i="1"/>
  <c r="BI119" i="1"/>
  <c r="BJ119" i="1"/>
  <c r="J120" i="1"/>
  <c r="K120" i="1"/>
  <c r="L120" i="1"/>
  <c r="N120" i="1"/>
  <c r="Z120" i="1"/>
  <c r="AB120" i="1"/>
  <c r="AC120" i="1"/>
  <c r="AD120" i="1"/>
  <c r="AE120" i="1"/>
  <c r="AF120" i="1"/>
  <c r="AG120" i="1"/>
  <c r="AH120" i="1"/>
  <c r="AJ120" i="1"/>
  <c r="AK120" i="1"/>
  <c r="AL120" i="1"/>
  <c r="AO120" i="1"/>
  <c r="AP120" i="1"/>
  <c r="AV120" i="1"/>
  <c r="AW120" i="1"/>
  <c r="AX120" i="1"/>
  <c r="BC120" i="1"/>
  <c r="BD120" i="1"/>
  <c r="BF120" i="1"/>
  <c r="BH120" i="1"/>
  <c r="BI120" i="1"/>
  <c r="BJ120" i="1"/>
  <c r="J121" i="1"/>
  <c r="K121" i="1"/>
  <c r="L121" i="1"/>
  <c r="N121" i="1"/>
  <c r="AS121" i="1"/>
  <c r="AT121" i="1"/>
  <c r="AU121" i="1"/>
  <c r="J122" i="1"/>
  <c r="K122" i="1"/>
  <c r="L122" i="1"/>
  <c r="N122" i="1"/>
  <c r="Z122" i="1"/>
  <c r="AB122" i="1"/>
  <c r="AC122" i="1"/>
  <c r="AD122" i="1"/>
  <c r="AE122" i="1"/>
  <c r="AF122" i="1"/>
  <c r="AG122" i="1"/>
  <c r="AH122" i="1"/>
  <c r="AJ122" i="1"/>
  <c r="AK122" i="1"/>
  <c r="AL122" i="1"/>
  <c r="AO122" i="1"/>
  <c r="AP122" i="1"/>
  <c r="AV122" i="1"/>
  <c r="AW122" i="1"/>
  <c r="AX122" i="1"/>
  <c r="BC122" i="1"/>
  <c r="BD122" i="1"/>
  <c r="BF122" i="1"/>
  <c r="BH122" i="1"/>
  <c r="BI122" i="1"/>
  <c r="BJ122" i="1"/>
  <c r="J123" i="1"/>
  <c r="K123" i="1"/>
  <c r="L123" i="1"/>
  <c r="N123" i="1"/>
  <c r="Z123" i="1"/>
  <c r="AB123" i="1"/>
  <c r="AC123" i="1"/>
  <c r="AD123" i="1"/>
  <c r="AE123" i="1"/>
  <c r="AF123" i="1"/>
  <c r="AG123" i="1"/>
  <c r="AH123" i="1"/>
  <c r="AJ123" i="1"/>
  <c r="AK123" i="1"/>
  <c r="AL123" i="1"/>
  <c r="AO123" i="1"/>
  <c r="AP123" i="1"/>
  <c r="AV123" i="1"/>
  <c r="AW123" i="1"/>
  <c r="AX123" i="1"/>
  <c r="BC123" i="1"/>
  <c r="BD123" i="1"/>
  <c r="BF123" i="1"/>
  <c r="BH123" i="1"/>
  <c r="BI123" i="1"/>
  <c r="BJ123" i="1"/>
  <c r="J124" i="1"/>
  <c r="K124" i="1"/>
  <c r="L124" i="1"/>
  <c r="N124" i="1"/>
  <c r="Z124" i="1"/>
  <c r="AB124" i="1"/>
  <c r="AC124" i="1"/>
  <c r="AD124" i="1"/>
  <c r="AE124" i="1"/>
  <c r="AF124" i="1"/>
  <c r="AG124" i="1"/>
  <c r="AH124" i="1"/>
  <c r="AJ124" i="1"/>
  <c r="AK124" i="1"/>
  <c r="AL124" i="1"/>
  <c r="AO124" i="1"/>
  <c r="AP124" i="1"/>
  <c r="AV124" i="1"/>
  <c r="AW124" i="1"/>
  <c r="AX124" i="1"/>
  <c r="BC124" i="1"/>
  <c r="BD124" i="1"/>
  <c r="BF124" i="1"/>
  <c r="BH124" i="1"/>
  <c r="BI124" i="1"/>
  <c r="BJ124" i="1"/>
  <c r="J125" i="1"/>
  <c r="K125" i="1"/>
  <c r="L125" i="1"/>
  <c r="N125" i="1"/>
  <c r="Z125" i="1"/>
  <c r="AB125" i="1"/>
  <c r="AC125" i="1"/>
  <c r="AD125" i="1"/>
  <c r="AE125" i="1"/>
  <c r="AF125" i="1"/>
  <c r="AG125" i="1"/>
  <c r="AH125" i="1"/>
  <c r="AJ125" i="1"/>
  <c r="AK125" i="1"/>
  <c r="AL125" i="1"/>
  <c r="AO125" i="1"/>
  <c r="AP125" i="1"/>
  <c r="AV125" i="1"/>
  <c r="AW125" i="1"/>
  <c r="AX125" i="1"/>
  <c r="BC125" i="1"/>
  <c r="BD125" i="1"/>
  <c r="BF125" i="1"/>
  <c r="BH125" i="1"/>
  <c r="BI125" i="1"/>
  <c r="BJ125" i="1"/>
  <c r="J126" i="1"/>
  <c r="K126" i="1"/>
  <c r="L126" i="1"/>
  <c r="N126" i="1"/>
  <c r="Z126" i="1"/>
  <c r="AB126" i="1"/>
  <c r="AC126" i="1"/>
  <c r="AD126" i="1"/>
  <c r="AE126" i="1"/>
  <c r="AF126" i="1"/>
  <c r="AG126" i="1"/>
  <c r="AH126" i="1"/>
  <c r="AJ126" i="1"/>
  <c r="AK126" i="1"/>
  <c r="AL126" i="1"/>
  <c r="AO126" i="1"/>
  <c r="AP126" i="1"/>
  <c r="AV126" i="1"/>
  <c r="AW126" i="1"/>
  <c r="AX126" i="1"/>
  <c r="BC126" i="1"/>
  <c r="BD126" i="1"/>
  <c r="BF126" i="1"/>
  <c r="BH126" i="1"/>
  <c r="BI126" i="1"/>
  <c r="BJ126" i="1"/>
  <c r="J127" i="1"/>
  <c r="K127" i="1"/>
  <c r="L127" i="1"/>
  <c r="N127" i="1"/>
  <c r="Z127" i="1"/>
  <c r="AB127" i="1"/>
  <c r="AC127" i="1"/>
  <c r="AD127" i="1"/>
  <c r="AE127" i="1"/>
  <c r="AF127" i="1"/>
  <c r="AG127" i="1"/>
  <c r="AH127" i="1"/>
  <c r="AJ127" i="1"/>
  <c r="AK127" i="1"/>
  <c r="AL127" i="1"/>
  <c r="AO127" i="1"/>
  <c r="AP127" i="1"/>
  <c r="AV127" i="1"/>
  <c r="AW127" i="1"/>
  <c r="AX127" i="1"/>
  <c r="BC127" i="1"/>
  <c r="BD127" i="1"/>
  <c r="BF127" i="1"/>
  <c r="BH127" i="1"/>
  <c r="BI127" i="1"/>
  <c r="BJ127" i="1"/>
  <c r="J128" i="1"/>
  <c r="K128" i="1"/>
  <c r="L128" i="1"/>
  <c r="N128" i="1"/>
  <c r="Z128" i="1"/>
  <c r="AB128" i="1"/>
  <c r="AC128" i="1"/>
  <c r="AD128" i="1"/>
  <c r="AE128" i="1"/>
  <c r="AF128" i="1"/>
  <c r="AG128" i="1"/>
  <c r="AH128" i="1"/>
  <c r="AJ128" i="1"/>
  <c r="AK128" i="1"/>
  <c r="AL128" i="1"/>
  <c r="AO128" i="1"/>
  <c r="AP128" i="1"/>
  <c r="AV128" i="1"/>
  <c r="AW128" i="1"/>
  <c r="AX128" i="1"/>
  <c r="BC128" i="1"/>
  <c r="BD128" i="1"/>
  <c r="BF128" i="1"/>
  <c r="BH128" i="1"/>
  <c r="BI128" i="1"/>
  <c r="BJ128" i="1"/>
  <c r="J129" i="1"/>
  <c r="K129" i="1"/>
  <c r="L129" i="1"/>
  <c r="N129" i="1"/>
  <c r="Z129" i="1"/>
  <c r="AB129" i="1"/>
  <c r="AC129" i="1"/>
  <c r="AD129" i="1"/>
  <c r="AE129" i="1"/>
  <c r="AF129" i="1"/>
  <c r="AG129" i="1"/>
  <c r="AH129" i="1"/>
  <c r="AJ129" i="1"/>
  <c r="AK129" i="1"/>
  <c r="AL129" i="1"/>
  <c r="AO129" i="1"/>
  <c r="AP129" i="1"/>
  <c r="AV129" i="1"/>
  <c r="AW129" i="1"/>
  <c r="AX129" i="1"/>
  <c r="BC129" i="1"/>
  <c r="BD129" i="1"/>
  <c r="BF129" i="1"/>
  <c r="BH129" i="1"/>
  <c r="BI129" i="1"/>
  <c r="BJ129" i="1"/>
  <c r="J130" i="1"/>
  <c r="K130" i="1"/>
  <c r="L130" i="1"/>
  <c r="N130" i="1"/>
  <c r="Z130" i="1"/>
  <c r="AB130" i="1"/>
  <c r="AC130" i="1"/>
  <c r="AD130" i="1"/>
  <c r="AE130" i="1"/>
  <c r="AF130" i="1"/>
  <c r="AG130" i="1"/>
  <c r="AH130" i="1"/>
  <c r="AJ130" i="1"/>
  <c r="AK130" i="1"/>
  <c r="AL130" i="1"/>
  <c r="AO130" i="1"/>
  <c r="AP130" i="1"/>
  <c r="AV130" i="1"/>
  <c r="AW130" i="1"/>
  <c r="AX130" i="1"/>
  <c r="BC130" i="1"/>
  <c r="BD130" i="1"/>
  <c r="BF130" i="1"/>
  <c r="BH130" i="1"/>
  <c r="BI130" i="1"/>
  <c r="BJ130" i="1"/>
  <c r="J131" i="1"/>
  <c r="K131" i="1"/>
  <c r="L131" i="1"/>
  <c r="N131" i="1"/>
  <c r="Z131" i="1"/>
  <c r="AB131" i="1"/>
  <c r="AC131" i="1"/>
  <c r="AD131" i="1"/>
  <c r="AE131" i="1"/>
  <c r="AF131" i="1"/>
  <c r="AG131" i="1"/>
  <c r="AH131" i="1"/>
  <c r="AJ131" i="1"/>
  <c r="AK131" i="1"/>
  <c r="AL131" i="1"/>
  <c r="AO131" i="1"/>
  <c r="AP131" i="1"/>
  <c r="AV131" i="1"/>
  <c r="AW131" i="1"/>
  <c r="AX131" i="1"/>
  <c r="BC131" i="1"/>
  <c r="BD131" i="1"/>
  <c r="BF131" i="1"/>
  <c r="BH131" i="1"/>
  <c r="BI131" i="1"/>
  <c r="BJ131" i="1"/>
  <c r="J132" i="1"/>
  <c r="K132" i="1"/>
  <c r="L132" i="1"/>
  <c r="N132" i="1"/>
  <c r="Z132" i="1"/>
  <c r="AB132" i="1"/>
  <c r="AC132" i="1"/>
  <c r="AD132" i="1"/>
  <c r="AE132" i="1"/>
  <c r="AF132" i="1"/>
  <c r="AG132" i="1"/>
  <c r="AH132" i="1"/>
  <c r="AJ132" i="1"/>
  <c r="AK132" i="1"/>
  <c r="AL132" i="1"/>
  <c r="AO132" i="1"/>
  <c r="AP132" i="1"/>
  <c r="AV132" i="1"/>
  <c r="AW132" i="1"/>
  <c r="AX132" i="1"/>
  <c r="BC132" i="1"/>
  <c r="BD132" i="1"/>
  <c r="BF132" i="1"/>
  <c r="BH132" i="1"/>
  <c r="BI132" i="1"/>
  <c r="BJ132" i="1"/>
  <c r="J133" i="1"/>
  <c r="K133" i="1"/>
  <c r="L133" i="1"/>
  <c r="N133" i="1"/>
  <c r="Z133" i="1"/>
  <c r="AB133" i="1"/>
  <c r="AC133" i="1"/>
  <c r="AD133" i="1"/>
  <c r="AE133" i="1"/>
  <c r="AF133" i="1"/>
  <c r="AG133" i="1"/>
  <c r="AH133" i="1"/>
  <c r="AJ133" i="1"/>
  <c r="AK133" i="1"/>
  <c r="AL133" i="1"/>
  <c r="AO133" i="1"/>
  <c r="AP133" i="1"/>
  <c r="AV133" i="1"/>
  <c r="AW133" i="1"/>
  <c r="AX133" i="1"/>
  <c r="BC133" i="1"/>
  <c r="BD133" i="1"/>
  <c r="BF133" i="1"/>
  <c r="BH133" i="1"/>
  <c r="BI133" i="1"/>
  <c r="BJ133" i="1"/>
  <c r="J134" i="1"/>
  <c r="K134" i="1"/>
  <c r="L134" i="1"/>
  <c r="N134" i="1"/>
  <c r="AS134" i="1"/>
  <c r="AT134" i="1"/>
  <c r="AU134" i="1"/>
  <c r="J135" i="1"/>
  <c r="K135" i="1"/>
  <c r="L135" i="1"/>
  <c r="N135" i="1"/>
  <c r="Z135" i="1"/>
  <c r="AB135" i="1"/>
  <c r="AC135" i="1"/>
  <c r="AD135" i="1"/>
  <c r="AE135" i="1"/>
  <c r="AF135" i="1"/>
  <c r="AG135" i="1"/>
  <c r="AH135" i="1"/>
  <c r="AJ135" i="1"/>
  <c r="AK135" i="1"/>
  <c r="AL135" i="1"/>
  <c r="AO135" i="1"/>
  <c r="AP135" i="1"/>
  <c r="AV135" i="1"/>
  <c r="AW135" i="1"/>
  <c r="AX135" i="1"/>
  <c r="BC135" i="1"/>
  <c r="BD135" i="1"/>
  <c r="BF135" i="1"/>
  <c r="BH135" i="1"/>
  <c r="BI135" i="1"/>
  <c r="BJ135" i="1"/>
  <c r="J136" i="1"/>
  <c r="K136" i="1"/>
  <c r="L136" i="1"/>
  <c r="N136" i="1"/>
  <c r="Z136" i="1"/>
  <c r="AB136" i="1"/>
  <c r="AC136" i="1"/>
  <c r="AD136" i="1"/>
  <c r="AE136" i="1"/>
  <c r="AF136" i="1"/>
  <c r="AG136" i="1"/>
  <c r="AH136" i="1"/>
  <c r="AJ136" i="1"/>
  <c r="AK136" i="1"/>
  <c r="AL136" i="1"/>
  <c r="AO136" i="1"/>
  <c r="AP136" i="1"/>
  <c r="AV136" i="1"/>
  <c r="AW136" i="1"/>
  <c r="AX136" i="1"/>
  <c r="BC136" i="1"/>
  <c r="BD136" i="1"/>
  <c r="BF136" i="1"/>
  <c r="BH136" i="1"/>
  <c r="BI136" i="1"/>
  <c r="BJ136" i="1"/>
  <c r="J137" i="1"/>
  <c r="K137" i="1"/>
  <c r="L137" i="1"/>
  <c r="N137" i="1"/>
  <c r="Z137" i="1"/>
  <c r="AB137" i="1"/>
  <c r="AC137" i="1"/>
  <c r="AD137" i="1"/>
  <c r="AE137" i="1"/>
  <c r="AF137" i="1"/>
  <c r="AG137" i="1"/>
  <c r="AH137" i="1"/>
  <c r="AJ137" i="1"/>
  <c r="AK137" i="1"/>
  <c r="AL137" i="1"/>
  <c r="AO137" i="1"/>
  <c r="AP137" i="1"/>
  <c r="AV137" i="1"/>
  <c r="AW137" i="1"/>
  <c r="AX137" i="1"/>
  <c r="BC137" i="1"/>
  <c r="BD137" i="1"/>
  <c r="BF137" i="1"/>
  <c r="BH137" i="1"/>
  <c r="BI137" i="1"/>
  <c r="BJ137" i="1"/>
  <c r="J138" i="1"/>
  <c r="K138" i="1"/>
  <c r="L138" i="1"/>
  <c r="N138" i="1"/>
  <c r="Z138" i="1"/>
  <c r="AB138" i="1"/>
  <c r="AC138" i="1"/>
  <c r="AD138" i="1"/>
  <c r="AE138" i="1"/>
  <c r="AF138" i="1"/>
  <c r="AG138" i="1"/>
  <c r="AH138" i="1"/>
  <c r="AJ138" i="1"/>
  <c r="AK138" i="1"/>
  <c r="AL138" i="1"/>
  <c r="AO138" i="1"/>
  <c r="AP138" i="1"/>
  <c r="AV138" i="1"/>
  <c r="AW138" i="1"/>
  <c r="AX138" i="1"/>
  <c r="BC138" i="1"/>
  <c r="BD138" i="1"/>
  <c r="BF138" i="1"/>
  <c r="BH138" i="1"/>
  <c r="BI138" i="1"/>
  <c r="BJ138" i="1"/>
  <c r="J139" i="1"/>
  <c r="K139" i="1"/>
  <c r="L139" i="1"/>
  <c r="N139" i="1"/>
  <c r="Z139" i="1"/>
  <c r="AB139" i="1"/>
  <c r="AC139" i="1"/>
  <c r="AD139" i="1"/>
  <c r="AE139" i="1"/>
  <c r="AF139" i="1"/>
  <c r="AG139" i="1"/>
  <c r="AH139" i="1"/>
  <c r="AJ139" i="1"/>
  <c r="AK139" i="1"/>
  <c r="AL139" i="1"/>
  <c r="AO139" i="1"/>
  <c r="AP139" i="1"/>
  <c r="AV139" i="1"/>
  <c r="AW139" i="1"/>
  <c r="AX139" i="1"/>
  <c r="BC139" i="1"/>
  <c r="BD139" i="1"/>
  <c r="BF139" i="1"/>
  <c r="BH139" i="1"/>
  <c r="BI139" i="1"/>
  <c r="BJ139" i="1"/>
  <c r="J140" i="1"/>
  <c r="K140" i="1"/>
  <c r="L140" i="1"/>
  <c r="N140" i="1"/>
  <c r="Z140" i="1"/>
  <c r="AB140" i="1"/>
  <c r="AC140" i="1"/>
  <c r="AD140" i="1"/>
  <c r="AE140" i="1"/>
  <c r="AF140" i="1"/>
  <c r="AG140" i="1"/>
  <c r="AH140" i="1"/>
  <c r="AJ140" i="1"/>
  <c r="AK140" i="1"/>
  <c r="AL140" i="1"/>
  <c r="AO140" i="1"/>
  <c r="AP140" i="1"/>
  <c r="AV140" i="1"/>
  <c r="AW140" i="1"/>
  <c r="AX140" i="1"/>
  <c r="BC140" i="1"/>
  <c r="BD140" i="1"/>
  <c r="BF140" i="1"/>
  <c r="BH140" i="1"/>
  <c r="BI140" i="1"/>
  <c r="BJ140" i="1"/>
  <c r="J141" i="1"/>
  <c r="K141" i="1"/>
  <c r="L141" i="1"/>
  <c r="N141" i="1"/>
  <c r="Z141" i="1"/>
  <c r="AB141" i="1"/>
  <c r="AC141" i="1"/>
  <c r="AD141" i="1"/>
  <c r="AE141" i="1"/>
  <c r="AF141" i="1"/>
  <c r="AG141" i="1"/>
  <c r="AH141" i="1"/>
  <c r="AJ141" i="1"/>
  <c r="AK141" i="1"/>
  <c r="AL141" i="1"/>
  <c r="AO141" i="1"/>
  <c r="AP141" i="1"/>
  <c r="AV141" i="1"/>
  <c r="AW141" i="1"/>
  <c r="AX141" i="1"/>
  <c r="BC141" i="1"/>
  <c r="BD141" i="1"/>
  <c r="BF141" i="1"/>
  <c r="BH141" i="1"/>
  <c r="BI141" i="1"/>
  <c r="BJ141" i="1"/>
  <c r="J142" i="1"/>
  <c r="K142" i="1"/>
  <c r="L142" i="1"/>
  <c r="N142" i="1"/>
  <c r="Z142" i="1"/>
  <c r="AB142" i="1"/>
  <c r="AC142" i="1"/>
  <c r="AD142" i="1"/>
  <c r="AE142" i="1"/>
  <c r="AF142" i="1"/>
  <c r="AG142" i="1"/>
  <c r="AH142" i="1"/>
  <c r="AJ142" i="1"/>
  <c r="AK142" i="1"/>
  <c r="AL142" i="1"/>
  <c r="AO142" i="1"/>
  <c r="AP142" i="1"/>
  <c r="AV142" i="1"/>
  <c r="AW142" i="1"/>
  <c r="AX142" i="1"/>
  <c r="BC142" i="1"/>
  <c r="BD142" i="1"/>
  <c r="BF142" i="1"/>
  <c r="BH142" i="1"/>
  <c r="BI142" i="1"/>
  <c r="BJ142" i="1"/>
  <c r="J143" i="1"/>
  <c r="K143" i="1"/>
  <c r="L143" i="1"/>
  <c r="N143" i="1"/>
  <c r="Z143" i="1"/>
  <c r="AB143" i="1"/>
  <c r="AC143" i="1"/>
  <c r="AD143" i="1"/>
  <c r="AE143" i="1"/>
  <c r="AF143" i="1"/>
  <c r="AG143" i="1"/>
  <c r="AH143" i="1"/>
  <c r="AJ143" i="1"/>
  <c r="AK143" i="1"/>
  <c r="AL143" i="1"/>
  <c r="AO143" i="1"/>
  <c r="AP143" i="1"/>
  <c r="AV143" i="1"/>
  <c r="AW143" i="1"/>
  <c r="AX143" i="1"/>
  <c r="BC143" i="1"/>
  <c r="BD143" i="1"/>
  <c r="BF143" i="1"/>
  <c r="BH143" i="1"/>
  <c r="BI143" i="1"/>
  <c r="BJ143" i="1"/>
  <c r="J144" i="1"/>
  <c r="K144" i="1"/>
  <c r="L144" i="1"/>
  <c r="N144" i="1"/>
  <c r="Z144" i="1"/>
  <c r="AB144" i="1"/>
  <c r="AC144" i="1"/>
  <c r="AD144" i="1"/>
  <c r="AE144" i="1"/>
  <c r="AF144" i="1"/>
  <c r="AG144" i="1"/>
  <c r="AH144" i="1"/>
  <c r="AJ144" i="1"/>
  <c r="AK144" i="1"/>
  <c r="AL144" i="1"/>
  <c r="AO144" i="1"/>
  <c r="AP144" i="1"/>
  <c r="AV144" i="1"/>
  <c r="AW144" i="1"/>
  <c r="AX144" i="1"/>
  <c r="BC144" i="1"/>
  <c r="BD144" i="1"/>
  <c r="BF144" i="1"/>
  <c r="BH144" i="1"/>
  <c r="BI144" i="1"/>
  <c r="BJ144" i="1"/>
  <c r="J145" i="1"/>
  <c r="K145" i="1"/>
  <c r="L145" i="1"/>
  <c r="N145" i="1"/>
  <c r="Z145" i="1"/>
  <c r="AB145" i="1"/>
  <c r="AC145" i="1"/>
  <c r="AD145" i="1"/>
  <c r="AE145" i="1"/>
  <c r="AF145" i="1"/>
  <c r="AG145" i="1"/>
  <c r="AH145" i="1"/>
  <c r="AJ145" i="1"/>
  <c r="AK145" i="1"/>
  <c r="AL145" i="1"/>
  <c r="AO145" i="1"/>
  <c r="AP145" i="1"/>
  <c r="AV145" i="1"/>
  <c r="AW145" i="1"/>
  <c r="AX145" i="1"/>
  <c r="BC145" i="1"/>
  <c r="BD145" i="1"/>
  <c r="BF145" i="1"/>
  <c r="BH145" i="1"/>
  <c r="BI145" i="1"/>
  <c r="BJ145" i="1"/>
  <c r="J146" i="1"/>
  <c r="K146" i="1"/>
  <c r="L146" i="1"/>
  <c r="N146" i="1"/>
  <c r="Z146" i="1"/>
  <c r="AB146" i="1"/>
  <c r="AC146" i="1"/>
  <c r="AD146" i="1"/>
  <c r="AE146" i="1"/>
  <c r="AF146" i="1"/>
  <c r="AG146" i="1"/>
  <c r="AH146" i="1"/>
  <c r="AJ146" i="1"/>
  <c r="AK146" i="1"/>
  <c r="AL146" i="1"/>
  <c r="AO146" i="1"/>
  <c r="AP146" i="1"/>
  <c r="AV146" i="1"/>
  <c r="AW146" i="1"/>
  <c r="AX146" i="1"/>
  <c r="BC146" i="1"/>
  <c r="BD146" i="1"/>
  <c r="BF146" i="1"/>
  <c r="BH146" i="1"/>
  <c r="BI146" i="1"/>
  <c r="BJ146" i="1"/>
  <c r="J147" i="1"/>
  <c r="K147" i="1"/>
  <c r="L147" i="1"/>
  <c r="N147" i="1"/>
  <c r="Z147" i="1"/>
  <c r="AB147" i="1"/>
  <c r="AC147" i="1"/>
  <c r="AD147" i="1"/>
  <c r="AE147" i="1"/>
  <c r="AF147" i="1"/>
  <c r="AG147" i="1"/>
  <c r="AH147" i="1"/>
  <c r="AJ147" i="1"/>
  <c r="AK147" i="1"/>
  <c r="AL147" i="1"/>
  <c r="AO147" i="1"/>
  <c r="AP147" i="1"/>
  <c r="AV147" i="1"/>
  <c r="AW147" i="1"/>
  <c r="AX147" i="1"/>
  <c r="BC147" i="1"/>
  <c r="BD147" i="1"/>
  <c r="BF147" i="1"/>
  <c r="BH147" i="1"/>
  <c r="BI147" i="1"/>
  <c r="BJ147" i="1"/>
  <c r="J148" i="1"/>
  <c r="K148" i="1"/>
  <c r="L148" i="1"/>
  <c r="N148" i="1"/>
  <c r="Z148" i="1"/>
  <c r="AB148" i="1"/>
  <c r="AC148" i="1"/>
  <c r="AD148" i="1"/>
  <c r="AE148" i="1"/>
  <c r="AF148" i="1"/>
  <c r="AG148" i="1"/>
  <c r="AH148" i="1"/>
  <c r="AJ148" i="1"/>
  <c r="AK148" i="1"/>
  <c r="AL148" i="1"/>
  <c r="AO148" i="1"/>
  <c r="AP148" i="1"/>
  <c r="AV148" i="1"/>
  <c r="AW148" i="1"/>
  <c r="AX148" i="1"/>
  <c r="BC148" i="1"/>
  <c r="BD148" i="1"/>
  <c r="BF148" i="1"/>
  <c r="BH148" i="1"/>
  <c r="BI148" i="1"/>
  <c r="BJ148" i="1"/>
  <c r="J149" i="1"/>
  <c r="K149" i="1"/>
  <c r="L149" i="1"/>
  <c r="N149" i="1"/>
  <c r="Z149" i="1"/>
  <c r="AB149" i="1"/>
  <c r="AC149" i="1"/>
  <c r="AD149" i="1"/>
  <c r="AE149" i="1"/>
  <c r="AF149" i="1"/>
  <c r="AG149" i="1"/>
  <c r="AH149" i="1"/>
  <c r="AJ149" i="1"/>
  <c r="AK149" i="1"/>
  <c r="AL149" i="1"/>
  <c r="AO149" i="1"/>
  <c r="AP149" i="1"/>
  <c r="AV149" i="1"/>
  <c r="AW149" i="1"/>
  <c r="AX149" i="1"/>
  <c r="BC149" i="1"/>
  <c r="BD149" i="1"/>
  <c r="BF149" i="1"/>
  <c r="BH149" i="1"/>
  <c r="BI149" i="1"/>
  <c r="BJ149" i="1"/>
  <c r="J150" i="1"/>
  <c r="K150" i="1"/>
  <c r="L150" i="1"/>
  <c r="N150" i="1"/>
  <c r="Z150" i="1"/>
  <c r="AB150" i="1"/>
  <c r="AC150" i="1"/>
  <c r="AD150" i="1"/>
  <c r="AE150" i="1"/>
  <c r="AF150" i="1"/>
  <c r="AG150" i="1"/>
  <c r="AH150" i="1"/>
  <c r="AJ150" i="1"/>
  <c r="AK150" i="1"/>
  <c r="AL150" i="1"/>
  <c r="AO150" i="1"/>
  <c r="AP150" i="1"/>
  <c r="AV150" i="1"/>
  <c r="AW150" i="1"/>
  <c r="AX150" i="1"/>
  <c r="BC150" i="1"/>
  <c r="BD150" i="1"/>
  <c r="BF150" i="1"/>
  <c r="BH150" i="1"/>
  <c r="BI150" i="1"/>
  <c r="BJ150" i="1"/>
  <c r="J151" i="1"/>
  <c r="K151" i="1"/>
  <c r="L151" i="1"/>
  <c r="N151" i="1"/>
  <c r="Z151" i="1"/>
  <c r="AB151" i="1"/>
  <c r="AC151" i="1"/>
  <c r="AD151" i="1"/>
  <c r="AE151" i="1"/>
  <c r="AF151" i="1"/>
  <c r="AG151" i="1"/>
  <c r="AH151" i="1"/>
  <c r="AJ151" i="1"/>
  <c r="AK151" i="1"/>
  <c r="AL151" i="1"/>
  <c r="AO151" i="1"/>
  <c r="AP151" i="1"/>
  <c r="AV151" i="1"/>
  <c r="AW151" i="1"/>
  <c r="AX151" i="1"/>
  <c r="BC151" i="1"/>
  <c r="BD151" i="1"/>
  <c r="BF151" i="1"/>
  <c r="BH151" i="1"/>
  <c r="BI151" i="1"/>
  <c r="BJ151" i="1"/>
  <c r="J153" i="1"/>
  <c r="K153" i="1"/>
  <c r="L153" i="1"/>
  <c r="N153" i="1"/>
  <c r="Z153" i="1"/>
  <c r="AB153" i="1"/>
  <c r="AC153" i="1"/>
  <c r="AD153" i="1"/>
  <c r="AE153" i="1"/>
  <c r="AF153" i="1"/>
  <c r="AG153" i="1"/>
  <c r="AH153" i="1"/>
  <c r="AJ153" i="1"/>
  <c r="AK153" i="1"/>
  <c r="AL153" i="1"/>
  <c r="AO153" i="1"/>
  <c r="AP153" i="1"/>
  <c r="AV153" i="1"/>
  <c r="AW153" i="1"/>
  <c r="AX153" i="1"/>
  <c r="BC153" i="1"/>
  <c r="BD153" i="1"/>
  <c r="BF153" i="1"/>
  <c r="BH153" i="1"/>
  <c r="BI153" i="1"/>
  <c r="BJ153" i="1"/>
  <c r="J154" i="1"/>
  <c r="K154" i="1"/>
  <c r="L154" i="1"/>
  <c r="N154" i="1"/>
  <c r="AS154" i="1"/>
  <c r="AT154" i="1"/>
  <c r="AU154" i="1"/>
  <c r="J155" i="1"/>
  <c r="K155" i="1"/>
  <c r="L155" i="1"/>
  <c r="N155" i="1"/>
  <c r="Z155" i="1"/>
  <c r="AB155" i="1"/>
  <c r="AC155" i="1"/>
  <c r="AD155" i="1"/>
  <c r="AE155" i="1"/>
  <c r="AF155" i="1"/>
  <c r="AG155" i="1"/>
  <c r="AH155" i="1"/>
  <c r="AJ155" i="1"/>
  <c r="AK155" i="1"/>
  <c r="AL155" i="1"/>
  <c r="AO155" i="1"/>
  <c r="AP155" i="1"/>
  <c r="AV155" i="1"/>
  <c r="AW155" i="1"/>
  <c r="AX155" i="1"/>
  <c r="BC155" i="1"/>
  <c r="BD155" i="1"/>
  <c r="BF155" i="1"/>
  <c r="BH155" i="1"/>
  <c r="BI155" i="1"/>
  <c r="BJ155" i="1"/>
  <c r="J156" i="1"/>
  <c r="K156" i="1"/>
  <c r="L156" i="1"/>
  <c r="N156" i="1"/>
  <c r="Z156" i="1"/>
  <c r="AB156" i="1"/>
  <c r="AC156" i="1"/>
  <c r="AD156" i="1"/>
  <c r="AE156" i="1"/>
  <c r="AF156" i="1"/>
  <c r="AG156" i="1"/>
  <c r="AH156" i="1"/>
  <c r="AJ156" i="1"/>
  <c r="AK156" i="1"/>
  <c r="AL156" i="1"/>
  <c r="AO156" i="1"/>
  <c r="AP156" i="1"/>
  <c r="AV156" i="1"/>
  <c r="AW156" i="1"/>
  <c r="AX156" i="1"/>
  <c r="BC156" i="1"/>
  <c r="BD156" i="1"/>
  <c r="BF156" i="1"/>
  <c r="BH156" i="1"/>
  <c r="BI156" i="1"/>
  <c r="BJ156" i="1"/>
  <c r="J157" i="1"/>
  <c r="K157" i="1"/>
  <c r="L157" i="1"/>
  <c r="N157" i="1"/>
  <c r="Z157" i="1"/>
  <c r="AB157" i="1"/>
  <c r="AC157" i="1"/>
  <c r="AD157" i="1"/>
  <c r="AE157" i="1"/>
  <c r="AF157" i="1"/>
  <c r="AG157" i="1"/>
  <c r="AH157" i="1"/>
  <c r="AJ157" i="1"/>
  <c r="AK157" i="1"/>
  <c r="AL157" i="1"/>
  <c r="AO157" i="1"/>
  <c r="AP157" i="1"/>
  <c r="AV157" i="1"/>
  <c r="AW157" i="1"/>
  <c r="AX157" i="1"/>
  <c r="BC157" i="1"/>
  <c r="BD157" i="1"/>
  <c r="BF157" i="1"/>
  <c r="BH157" i="1"/>
  <c r="BI157" i="1"/>
  <c r="BJ157" i="1"/>
  <c r="J158" i="1"/>
  <c r="K158" i="1"/>
  <c r="L158" i="1"/>
  <c r="N158" i="1"/>
  <c r="Z158" i="1"/>
  <c r="AB158" i="1"/>
  <c r="AC158" i="1"/>
  <c r="AD158" i="1"/>
  <c r="AE158" i="1"/>
  <c r="AF158" i="1"/>
  <c r="AG158" i="1"/>
  <c r="AH158" i="1"/>
  <c r="AJ158" i="1"/>
  <c r="AK158" i="1"/>
  <c r="AL158" i="1"/>
  <c r="AO158" i="1"/>
  <c r="AP158" i="1"/>
  <c r="AV158" i="1"/>
  <c r="AW158" i="1"/>
  <c r="AX158" i="1"/>
  <c r="BC158" i="1"/>
  <c r="BD158" i="1"/>
  <c r="BF158" i="1"/>
  <c r="BH158" i="1"/>
  <c r="BI158" i="1"/>
  <c r="BJ158" i="1"/>
  <c r="J159" i="1"/>
  <c r="K159" i="1"/>
  <c r="L159" i="1"/>
  <c r="N159" i="1"/>
  <c r="Z159" i="1"/>
  <c r="AB159" i="1"/>
  <c r="AC159" i="1"/>
  <c r="AD159" i="1"/>
  <c r="AE159" i="1"/>
  <c r="AF159" i="1"/>
  <c r="AG159" i="1"/>
  <c r="AH159" i="1"/>
  <c r="AJ159" i="1"/>
  <c r="AK159" i="1"/>
  <c r="AL159" i="1"/>
  <c r="AO159" i="1"/>
  <c r="AP159" i="1"/>
  <c r="AV159" i="1"/>
  <c r="AW159" i="1"/>
  <c r="AX159" i="1"/>
  <c r="BC159" i="1"/>
  <c r="BD159" i="1"/>
  <c r="BF159" i="1"/>
  <c r="BH159" i="1"/>
  <c r="BI159" i="1"/>
  <c r="BJ159" i="1"/>
  <c r="J160" i="1"/>
  <c r="K160" i="1"/>
  <c r="L160" i="1"/>
  <c r="N160" i="1"/>
  <c r="Z160" i="1"/>
  <c r="AB160" i="1"/>
  <c r="AC160" i="1"/>
  <c r="AD160" i="1"/>
  <c r="AE160" i="1"/>
  <c r="AF160" i="1"/>
  <c r="AG160" i="1"/>
  <c r="AH160" i="1"/>
  <c r="AJ160" i="1"/>
  <c r="AK160" i="1"/>
  <c r="AL160" i="1"/>
  <c r="AO160" i="1"/>
  <c r="AP160" i="1"/>
  <c r="AV160" i="1"/>
  <c r="AW160" i="1"/>
  <c r="AX160" i="1"/>
  <c r="BC160" i="1"/>
  <c r="BD160" i="1"/>
  <c r="BF160" i="1"/>
  <c r="BH160" i="1"/>
  <c r="BI160" i="1"/>
  <c r="BJ160" i="1"/>
  <c r="J161" i="1"/>
  <c r="K161" i="1"/>
  <c r="L161" i="1"/>
  <c r="N161" i="1"/>
  <c r="Z161" i="1"/>
  <c r="AB161" i="1"/>
  <c r="AC161" i="1"/>
  <c r="AD161" i="1"/>
  <c r="AE161" i="1"/>
  <c r="AF161" i="1"/>
  <c r="AG161" i="1"/>
  <c r="AH161" i="1"/>
  <c r="AJ161" i="1"/>
  <c r="AK161" i="1"/>
  <c r="AL161" i="1"/>
  <c r="AO161" i="1"/>
  <c r="AP161" i="1"/>
  <c r="AV161" i="1"/>
  <c r="AW161" i="1"/>
  <c r="AX161" i="1"/>
  <c r="BC161" i="1"/>
  <c r="BD161" i="1"/>
  <c r="BF161" i="1"/>
  <c r="BH161" i="1"/>
  <c r="BI161" i="1"/>
  <c r="BJ161" i="1"/>
  <c r="J162" i="1"/>
  <c r="K162" i="1"/>
  <c r="L162" i="1"/>
  <c r="N162" i="1"/>
  <c r="Z162" i="1"/>
  <c r="AB162" i="1"/>
  <c r="AC162" i="1"/>
  <c r="AD162" i="1"/>
  <c r="AE162" i="1"/>
  <c r="AF162" i="1"/>
  <c r="AG162" i="1"/>
  <c r="AH162" i="1"/>
  <c r="AJ162" i="1"/>
  <c r="AK162" i="1"/>
  <c r="AL162" i="1"/>
  <c r="AO162" i="1"/>
  <c r="AP162" i="1"/>
  <c r="AV162" i="1"/>
  <c r="AW162" i="1"/>
  <c r="AX162" i="1"/>
  <c r="BC162" i="1"/>
  <c r="BD162" i="1"/>
  <c r="BF162" i="1"/>
  <c r="BH162" i="1"/>
  <c r="BI162" i="1"/>
  <c r="BJ162" i="1"/>
  <c r="J164" i="1"/>
  <c r="K164" i="1"/>
  <c r="L164" i="1"/>
  <c r="N164" i="1"/>
  <c r="Z164" i="1"/>
  <c r="AB164" i="1"/>
  <c r="AC164" i="1"/>
  <c r="AD164" i="1"/>
  <c r="AE164" i="1"/>
  <c r="AF164" i="1"/>
  <c r="AG164" i="1"/>
  <c r="AH164" i="1"/>
  <c r="AJ164" i="1"/>
  <c r="AK164" i="1"/>
  <c r="AL164" i="1"/>
  <c r="AO164" i="1"/>
  <c r="AP164" i="1"/>
  <c r="AV164" i="1"/>
  <c r="AW164" i="1"/>
  <c r="AX164" i="1"/>
  <c r="BC164" i="1"/>
  <c r="BD164" i="1"/>
  <c r="BF164" i="1"/>
  <c r="BH164" i="1"/>
  <c r="BI164" i="1"/>
  <c r="BJ164" i="1"/>
  <c r="J165" i="1"/>
  <c r="K165" i="1"/>
  <c r="L165" i="1"/>
  <c r="N165" i="1"/>
  <c r="Z165" i="1"/>
  <c r="AB165" i="1"/>
  <c r="AC165" i="1"/>
  <c r="AD165" i="1"/>
  <c r="AE165" i="1"/>
  <c r="AF165" i="1"/>
  <c r="AG165" i="1"/>
  <c r="AH165" i="1"/>
  <c r="AJ165" i="1"/>
  <c r="AK165" i="1"/>
  <c r="AL165" i="1"/>
  <c r="AO165" i="1"/>
  <c r="AP165" i="1"/>
  <c r="AV165" i="1"/>
  <c r="AW165" i="1"/>
  <c r="AX165" i="1"/>
  <c r="BC165" i="1"/>
  <c r="BD165" i="1"/>
  <c r="BF165" i="1"/>
  <c r="BH165" i="1"/>
  <c r="BI165" i="1"/>
  <c r="BJ165" i="1"/>
  <c r="J166" i="1"/>
  <c r="K166" i="1"/>
  <c r="L166" i="1"/>
  <c r="N166" i="1"/>
  <c r="Z166" i="1"/>
  <c r="AB166" i="1"/>
  <c r="AC166" i="1"/>
  <c r="AD166" i="1"/>
  <c r="AE166" i="1"/>
  <c r="AF166" i="1"/>
  <c r="AG166" i="1"/>
  <c r="AH166" i="1"/>
  <c r="AJ166" i="1"/>
  <c r="AK166" i="1"/>
  <c r="AL166" i="1"/>
  <c r="AO166" i="1"/>
  <c r="AP166" i="1"/>
  <c r="AV166" i="1"/>
  <c r="AW166" i="1"/>
  <c r="AX166" i="1"/>
  <c r="BC166" i="1"/>
  <c r="BD166" i="1"/>
  <c r="BF166" i="1"/>
  <c r="BH166" i="1"/>
  <c r="BI166" i="1"/>
  <c r="BJ166" i="1"/>
  <c r="J167" i="1"/>
  <c r="K167" i="1"/>
  <c r="L167" i="1"/>
  <c r="N167" i="1"/>
  <c r="Z167" i="1"/>
  <c r="AB167" i="1"/>
  <c r="AC167" i="1"/>
  <c r="AD167" i="1"/>
  <c r="AE167" i="1"/>
  <c r="AF167" i="1"/>
  <c r="AG167" i="1"/>
  <c r="AH167" i="1"/>
  <c r="AJ167" i="1"/>
  <c r="AK167" i="1"/>
  <c r="AL167" i="1"/>
  <c r="AO167" i="1"/>
  <c r="AP167" i="1"/>
  <c r="AV167" i="1"/>
  <c r="AW167" i="1"/>
  <c r="AX167" i="1"/>
  <c r="BC167" i="1"/>
  <c r="BD167" i="1"/>
  <c r="BF167" i="1"/>
  <c r="BH167" i="1"/>
  <c r="BI167" i="1"/>
  <c r="BJ167" i="1"/>
  <c r="J168" i="1"/>
  <c r="K168" i="1"/>
  <c r="L168" i="1"/>
  <c r="N168" i="1"/>
  <c r="Z168" i="1"/>
  <c r="AB168" i="1"/>
  <c r="AC168" i="1"/>
  <c r="AD168" i="1"/>
  <c r="AE168" i="1"/>
  <c r="AF168" i="1"/>
  <c r="AG168" i="1"/>
  <c r="AH168" i="1"/>
  <c r="AJ168" i="1"/>
  <c r="AK168" i="1"/>
  <c r="AL168" i="1"/>
  <c r="AO168" i="1"/>
  <c r="AP168" i="1"/>
  <c r="AV168" i="1"/>
  <c r="AW168" i="1"/>
  <c r="AX168" i="1"/>
  <c r="BC168" i="1"/>
  <c r="BD168" i="1"/>
  <c r="BF168" i="1"/>
  <c r="BH168" i="1"/>
  <c r="BI168" i="1"/>
  <c r="BJ168" i="1"/>
  <c r="J169" i="1"/>
  <c r="K169" i="1"/>
  <c r="L169" i="1"/>
  <c r="N169" i="1"/>
  <c r="Z169" i="1"/>
  <c r="AB169" i="1"/>
  <c r="AC169" i="1"/>
  <c r="AD169" i="1"/>
  <c r="AE169" i="1"/>
  <c r="AF169" i="1"/>
  <c r="AG169" i="1"/>
  <c r="AH169" i="1"/>
  <c r="AJ169" i="1"/>
  <c r="AK169" i="1"/>
  <c r="AL169" i="1"/>
  <c r="AO169" i="1"/>
  <c r="AP169" i="1"/>
  <c r="AV169" i="1"/>
  <c r="AW169" i="1"/>
  <c r="AX169" i="1"/>
  <c r="BC169" i="1"/>
  <c r="BD169" i="1"/>
  <c r="BF169" i="1"/>
  <c r="BH169" i="1"/>
  <c r="BI169" i="1"/>
  <c r="BJ169" i="1"/>
  <c r="J170" i="1"/>
  <c r="K170" i="1"/>
  <c r="L170" i="1"/>
  <c r="N170" i="1"/>
  <c r="Z170" i="1"/>
  <c r="AB170" i="1"/>
  <c r="AC170" i="1"/>
  <c r="AD170" i="1"/>
  <c r="AE170" i="1"/>
  <c r="AF170" i="1"/>
  <c r="AG170" i="1"/>
  <c r="AH170" i="1"/>
  <c r="AJ170" i="1"/>
  <c r="AK170" i="1"/>
  <c r="AL170" i="1"/>
  <c r="AO170" i="1"/>
  <c r="AP170" i="1"/>
  <c r="AV170" i="1"/>
  <c r="AW170" i="1"/>
  <c r="AX170" i="1"/>
  <c r="BC170" i="1"/>
  <c r="BD170" i="1"/>
  <c r="BF170" i="1"/>
  <c r="BH170" i="1"/>
  <c r="BI170" i="1"/>
  <c r="BJ170" i="1"/>
  <c r="J171" i="1"/>
  <c r="K171" i="1"/>
  <c r="L171" i="1"/>
  <c r="N171" i="1"/>
  <c r="Z171" i="1"/>
  <c r="AB171" i="1"/>
  <c r="AC171" i="1"/>
  <c r="AD171" i="1"/>
  <c r="AE171" i="1"/>
  <c r="AF171" i="1"/>
  <c r="AG171" i="1"/>
  <c r="AH171" i="1"/>
  <c r="AJ171" i="1"/>
  <c r="AK171" i="1"/>
  <c r="AL171" i="1"/>
  <c r="AO171" i="1"/>
  <c r="AP171" i="1"/>
  <c r="AV171" i="1"/>
  <c r="AW171" i="1"/>
  <c r="AX171" i="1"/>
  <c r="BC171" i="1"/>
  <c r="BD171" i="1"/>
  <c r="BF171" i="1"/>
  <c r="BH171" i="1"/>
  <c r="BI171" i="1"/>
  <c r="BJ171" i="1"/>
  <c r="J172" i="1"/>
  <c r="K172" i="1"/>
  <c r="L172" i="1"/>
  <c r="N172" i="1"/>
  <c r="Z172" i="1"/>
  <c r="AB172" i="1"/>
  <c r="AC172" i="1"/>
  <c r="AD172" i="1"/>
  <c r="AE172" i="1"/>
  <c r="AF172" i="1"/>
  <c r="AG172" i="1"/>
  <c r="AH172" i="1"/>
  <c r="AJ172" i="1"/>
  <c r="AK172" i="1"/>
  <c r="AL172" i="1"/>
  <c r="AO172" i="1"/>
  <c r="AP172" i="1"/>
  <c r="AV172" i="1"/>
  <c r="AW172" i="1"/>
  <c r="AX172" i="1"/>
  <c r="BC172" i="1"/>
  <c r="BD172" i="1"/>
  <c r="BF172" i="1"/>
  <c r="BH172" i="1"/>
  <c r="BI172" i="1"/>
  <c r="BJ172" i="1"/>
  <c r="J173" i="1"/>
  <c r="K173" i="1"/>
  <c r="L173" i="1"/>
  <c r="N173" i="1"/>
  <c r="Z173" i="1"/>
  <c r="AB173" i="1"/>
  <c r="AC173" i="1"/>
  <c r="AD173" i="1"/>
  <c r="AE173" i="1"/>
  <c r="AF173" i="1"/>
  <c r="AG173" i="1"/>
  <c r="AH173" i="1"/>
  <c r="AJ173" i="1"/>
  <c r="AK173" i="1"/>
  <c r="AL173" i="1"/>
  <c r="AO173" i="1"/>
  <c r="AP173" i="1"/>
  <c r="AV173" i="1"/>
  <c r="AW173" i="1"/>
  <c r="AX173" i="1"/>
  <c r="BC173" i="1"/>
  <c r="BD173" i="1"/>
  <c r="BF173" i="1"/>
  <c r="BH173" i="1"/>
  <c r="BI173" i="1"/>
  <c r="BJ173" i="1"/>
  <c r="J174" i="1"/>
  <c r="K174" i="1"/>
  <c r="L174" i="1"/>
  <c r="N174" i="1"/>
  <c r="Z174" i="1"/>
  <c r="AB174" i="1"/>
  <c r="AC174" i="1"/>
  <c r="AD174" i="1"/>
  <c r="AE174" i="1"/>
  <c r="AF174" i="1"/>
  <c r="AG174" i="1"/>
  <c r="AH174" i="1"/>
  <c r="AJ174" i="1"/>
  <c r="AK174" i="1"/>
  <c r="AL174" i="1"/>
  <c r="AO174" i="1"/>
  <c r="AP174" i="1"/>
  <c r="AV174" i="1"/>
  <c r="AW174" i="1"/>
  <c r="AX174" i="1"/>
  <c r="BC174" i="1"/>
  <c r="BD174" i="1"/>
  <c r="BF174" i="1"/>
  <c r="BH174" i="1"/>
  <c r="BI174" i="1"/>
  <c r="BJ174" i="1"/>
  <c r="J175" i="1"/>
  <c r="K175" i="1"/>
  <c r="L175" i="1"/>
  <c r="N175" i="1"/>
  <c r="Z175" i="1"/>
  <c r="AB175" i="1"/>
  <c r="AC175" i="1"/>
  <c r="AD175" i="1"/>
  <c r="AE175" i="1"/>
  <c r="AF175" i="1"/>
  <c r="AG175" i="1"/>
  <c r="AH175" i="1"/>
  <c r="AJ175" i="1"/>
  <c r="AK175" i="1"/>
  <c r="AL175" i="1"/>
  <c r="AO175" i="1"/>
  <c r="AP175" i="1"/>
  <c r="AV175" i="1"/>
  <c r="AW175" i="1"/>
  <c r="AX175" i="1"/>
  <c r="BC175" i="1"/>
  <c r="BD175" i="1"/>
  <c r="BF175" i="1"/>
  <c r="BH175" i="1"/>
  <c r="BI175" i="1"/>
  <c r="BJ175" i="1"/>
  <c r="J176" i="1"/>
  <c r="K176" i="1"/>
  <c r="L176" i="1"/>
  <c r="N176" i="1"/>
  <c r="Z176" i="1"/>
  <c r="AB176" i="1"/>
  <c r="AC176" i="1"/>
  <c r="AD176" i="1"/>
  <c r="AE176" i="1"/>
  <c r="AF176" i="1"/>
  <c r="AG176" i="1"/>
  <c r="AH176" i="1"/>
  <c r="AJ176" i="1"/>
  <c r="AK176" i="1"/>
  <c r="AL176" i="1"/>
  <c r="AO176" i="1"/>
  <c r="AP176" i="1"/>
  <c r="AV176" i="1"/>
  <c r="AW176" i="1"/>
  <c r="AX176" i="1"/>
  <c r="BC176" i="1"/>
  <c r="BD176" i="1"/>
  <c r="BF176" i="1"/>
  <c r="BH176" i="1"/>
  <c r="BI176" i="1"/>
  <c r="BJ176" i="1"/>
  <c r="J177" i="1"/>
  <c r="K177" i="1"/>
  <c r="L177" i="1"/>
  <c r="N177" i="1"/>
  <c r="Z177" i="1"/>
  <c r="AB177" i="1"/>
  <c r="AC177" i="1"/>
  <c r="AD177" i="1"/>
  <c r="AE177" i="1"/>
  <c r="AF177" i="1"/>
  <c r="AG177" i="1"/>
  <c r="AH177" i="1"/>
  <c r="AJ177" i="1"/>
  <c r="AK177" i="1"/>
  <c r="AL177" i="1"/>
  <c r="AO177" i="1"/>
  <c r="AP177" i="1"/>
  <c r="AV177" i="1"/>
  <c r="AW177" i="1"/>
  <c r="AX177" i="1"/>
  <c r="BC177" i="1"/>
  <c r="BD177" i="1"/>
  <c r="BF177" i="1"/>
  <c r="BH177" i="1"/>
  <c r="BI177" i="1"/>
  <c r="BJ177" i="1"/>
  <c r="J178" i="1"/>
  <c r="K178" i="1"/>
  <c r="L178" i="1"/>
  <c r="N178" i="1"/>
  <c r="Z178" i="1"/>
  <c r="AB178" i="1"/>
  <c r="AC178" i="1"/>
  <c r="AD178" i="1"/>
  <c r="AE178" i="1"/>
  <c r="AF178" i="1"/>
  <c r="AG178" i="1"/>
  <c r="AH178" i="1"/>
  <c r="AJ178" i="1"/>
  <c r="AK178" i="1"/>
  <c r="AL178" i="1"/>
  <c r="AO178" i="1"/>
  <c r="AP178" i="1"/>
  <c r="AV178" i="1"/>
  <c r="AW178" i="1"/>
  <c r="AX178" i="1"/>
  <c r="BC178" i="1"/>
  <c r="BD178" i="1"/>
  <c r="BF178" i="1"/>
  <c r="BH178" i="1"/>
  <c r="BI178" i="1"/>
  <c r="BJ178" i="1"/>
  <c r="J179" i="1"/>
  <c r="K179" i="1"/>
  <c r="L179" i="1"/>
  <c r="N179" i="1"/>
  <c r="Z179" i="1"/>
  <c r="AB179" i="1"/>
  <c r="AC179" i="1"/>
  <c r="AD179" i="1"/>
  <c r="AE179" i="1"/>
  <c r="AF179" i="1"/>
  <c r="AG179" i="1"/>
  <c r="AH179" i="1"/>
  <c r="AJ179" i="1"/>
  <c r="AK179" i="1"/>
  <c r="AL179" i="1"/>
  <c r="AO179" i="1"/>
  <c r="AP179" i="1"/>
  <c r="AV179" i="1"/>
  <c r="AW179" i="1"/>
  <c r="AX179" i="1"/>
  <c r="BC179" i="1"/>
  <c r="BD179" i="1"/>
  <c r="BF179" i="1"/>
  <c r="BH179" i="1"/>
  <c r="BI179" i="1"/>
  <c r="BJ179" i="1"/>
  <c r="J180" i="1"/>
  <c r="K180" i="1"/>
  <c r="L180" i="1"/>
  <c r="N180" i="1"/>
  <c r="Z180" i="1"/>
  <c r="AB180" i="1"/>
  <c r="AC180" i="1"/>
  <c r="AD180" i="1"/>
  <c r="AE180" i="1"/>
  <c r="AF180" i="1"/>
  <c r="AG180" i="1"/>
  <c r="AH180" i="1"/>
  <c r="AJ180" i="1"/>
  <c r="AK180" i="1"/>
  <c r="AL180" i="1"/>
  <c r="AO180" i="1"/>
  <c r="AP180" i="1"/>
  <c r="AV180" i="1"/>
  <c r="AW180" i="1"/>
  <c r="AX180" i="1"/>
  <c r="BC180" i="1"/>
  <c r="BD180" i="1"/>
  <c r="BF180" i="1"/>
  <c r="BH180" i="1"/>
  <c r="BI180" i="1"/>
  <c r="BJ180" i="1"/>
  <c r="J181" i="1"/>
  <c r="K181" i="1"/>
  <c r="L181" i="1"/>
  <c r="N181" i="1"/>
  <c r="Z181" i="1"/>
  <c r="AB181" i="1"/>
  <c r="AC181" i="1"/>
  <c r="AD181" i="1"/>
  <c r="AE181" i="1"/>
  <c r="AF181" i="1"/>
  <c r="AG181" i="1"/>
  <c r="AH181" i="1"/>
  <c r="AJ181" i="1"/>
  <c r="AK181" i="1"/>
  <c r="AL181" i="1"/>
  <c r="AO181" i="1"/>
  <c r="AP181" i="1"/>
  <c r="AV181" i="1"/>
  <c r="AW181" i="1"/>
  <c r="AX181" i="1"/>
  <c r="BC181" i="1"/>
  <c r="BD181" i="1"/>
  <c r="BF181" i="1"/>
  <c r="BH181" i="1"/>
  <c r="BI181" i="1"/>
  <c r="BJ181" i="1"/>
  <c r="J182" i="1"/>
  <c r="K182" i="1"/>
  <c r="L182" i="1"/>
  <c r="N182" i="1"/>
  <c r="Z182" i="1"/>
  <c r="AB182" i="1"/>
  <c r="AC182" i="1"/>
  <c r="AD182" i="1"/>
  <c r="AE182" i="1"/>
  <c r="AF182" i="1"/>
  <c r="AG182" i="1"/>
  <c r="AH182" i="1"/>
  <c r="AJ182" i="1"/>
  <c r="AK182" i="1"/>
  <c r="AL182" i="1"/>
  <c r="AO182" i="1"/>
  <c r="AP182" i="1"/>
  <c r="AV182" i="1"/>
  <c r="AW182" i="1"/>
  <c r="AX182" i="1"/>
  <c r="BC182" i="1"/>
  <c r="BD182" i="1"/>
  <c r="BF182" i="1"/>
  <c r="BH182" i="1"/>
  <c r="BI182" i="1"/>
  <c r="BJ182" i="1"/>
  <c r="J183" i="1"/>
  <c r="K183" i="1"/>
  <c r="L183" i="1"/>
  <c r="N183" i="1"/>
  <c r="Z183" i="1"/>
  <c r="AB183" i="1"/>
  <c r="AC183" i="1"/>
  <c r="AD183" i="1"/>
  <c r="AE183" i="1"/>
  <c r="AF183" i="1"/>
  <c r="AG183" i="1"/>
  <c r="AH183" i="1"/>
  <c r="AJ183" i="1"/>
  <c r="AK183" i="1"/>
  <c r="AL183" i="1"/>
  <c r="AO183" i="1"/>
  <c r="AP183" i="1"/>
  <c r="AV183" i="1"/>
  <c r="AW183" i="1"/>
  <c r="AX183" i="1"/>
  <c r="BC183" i="1"/>
  <c r="BD183" i="1"/>
  <c r="BF183" i="1"/>
  <c r="BH183" i="1"/>
  <c r="BI183" i="1"/>
  <c r="BJ183" i="1"/>
  <c r="J184" i="1"/>
  <c r="K184" i="1"/>
  <c r="L184" i="1"/>
  <c r="N184" i="1"/>
  <c r="Z184" i="1"/>
  <c r="AB184" i="1"/>
  <c r="AC184" i="1"/>
  <c r="AD184" i="1"/>
  <c r="AE184" i="1"/>
  <c r="AF184" i="1"/>
  <c r="AG184" i="1"/>
  <c r="AH184" i="1"/>
  <c r="AJ184" i="1"/>
  <c r="AK184" i="1"/>
  <c r="AL184" i="1"/>
  <c r="AO184" i="1"/>
  <c r="AP184" i="1"/>
  <c r="AV184" i="1"/>
  <c r="AW184" i="1"/>
  <c r="AX184" i="1"/>
  <c r="BC184" i="1"/>
  <c r="BD184" i="1"/>
  <c r="BF184" i="1"/>
  <c r="BH184" i="1"/>
  <c r="BI184" i="1"/>
  <c r="BJ184" i="1"/>
  <c r="J185" i="1"/>
  <c r="K185" i="1"/>
  <c r="L185" i="1"/>
  <c r="N185" i="1"/>
  <c r="Z185" i="1"/>
  <c r="AB185" i="1"/>
  <c r="AC185" i="1"/>
  <c r="AD185" i="1"/>
  <c r="AE185" i="1"/>
  <c r="AF185" i="1"/>
  <c r="AG185" i="1"/>
  <c r="AH185" i="1"/>
  <c r="AJ185" i="1"/>
  <c r="AK185" i="1"/>
  <c r="AL185" i="1"/>
  <c r="AO185" i="1"/>
  <c r="AP185" i="1"/>
  <c r="AV185" i="1"/>
  <c r="AW185" i="1"/>
  <c r="AX185" i="1"/>
  <c r="BC185" i="1"/>
  <c r="BD185" i="1"/>
  <c r="BF185" i="1"/>
  <c r="BH185" i="1"/>
  <c r="BI185" i="1"/>
  <c r="BJ185" i="1"/>
  <c r="J186" i="1"/>
  <c r="K186" i="1"/>
  <c r="L186" i="1"/>
  <c r="N186" i="1"/>
  <c r="Z186" i="1"/>
  <c r="AB186" i="1"/>
  <c r="AC186" i="1"/>
  <c r="AD186" i="1"/>
  <c r="AE186" i="1"/>
  <c r="AF186" i="1"/>
  <c r="AG186" i="1"/>
  <c r="AH186" i="1"/>
  <c r="AJ186" i="1"/>
  <c r="AK186" i="1"/>
  <c r="AL186" i="1"/>
  <c r="AO186" i="1"/>
  <c r="AP186" i="1"/>
  <c r="AV186" i="1"/>
  <c r="AW186" i="1"/>
  <c r="AX186" i="1"/>
  <c r="BC186" i="1"/>
  <c r="BD186" i="1"/>
  <c r="BF186" i="1"/>
  <c r="BH186" i="1"/>
  <c r="BI186" i="1"/>
  <c r="BJ186" i="1"/>
  <c r="J187" i="1"/>
  <c r="K187" i="1"/>
  <c r="L187" i="1"/>
  <c r="N187" i="1"/>
  <c r="Z187" i="1"/>
  <c r="AB187" i="1"/>
  <c r="AC187" i="1"/>
  <c r="AD187" i="1"/>
  <c r="AE187" i="1"/>
  <c r="AF187" i="1"/>
  <c r="AG187" i="1"/>
  <c r="AH187" i="1"/>
  <c r="AJ187" i="1"/>
  <c r="AK187" i="1"/>
  <c r="AL187" i="1"/>
  <c r="AO187" i="1"/>
  <c r="AP187" i="1"/>
  <c r="AV187" i="1"/>
  <c r="AW187" i="1"/>
  <c r="AX187" i="1"/>
  <c r="BC187" i="1"/>
  <c r="BD187" i="1"/>
  <c r="BF187" i="1"/>
  <c r="BH187" i="1"/>
  <c r="BI187" i="1"/>
  <c r="BJ187" i="1"/>
  <c r="J188" i="1"/>
  <c r="K188" i="1"/>
  <c r="L188" i="1"/>
  <c r="N188" i="1"/>
  <c r="AS188" i="1"/>
  <c r="AT188" i="1"/>
  <c r="AU188" i="1"/>
  <c r="J189" i="1"/>
  <c r="K189" i="1"/>
  <c r="L189" i="1"/>
  <c r="N189" i="1"/>
  <c r="Z189" i="1"/>
  <c r="AB189" i="1"/>
  <c r="AC189" i="1"/>
  <c r="AD189" i="1"/>
  <c r="AE189" i="1"/>
  <c r="AF189" i="1"/>
  <c r="AG189" i="1"/>
  <c r="AH189" i="1"/>
  <c r="AJ189" i="1"/>
  <c r="AK189" i="1"/>
  <c r="AL189" i="1"/>
  <c r="AO189" i="1"/>
  <c r="AP189" i="1"/>
  <c r="AV189" i="1"/>
  <c r="AW189" i="1"/>
  <c r="AX189" i="1"/>
  <c r="BC189" i="1"/>
  <c r="BD189" i="1"/>
  <c r="BF189" i="1"/>
  <c r="BH189" i="1"/>
  <c r="BI189" i="1"/>
  <c r="BJ189" i="1"/>
  <c r="J190" i="1"/>
  <c r="K190" i="1"/>
  <c r="L190" i="1"/>
  <c r="N190" i="1"/>
  <c r="Z190" i="1"/>
  <c r="AB190" i="1"/>
  <c r="AC190" i="1"/>
  <c r="AD190" i="1"/>
  <c r="AE190" i="1"/>
  <c r="AF190" i="1"/>
  <c r="AG190" i="1"/>
  <c r="AH190" i="1"/>
  <c r="AJ190" i="1"/>
  <c r="AK190" i="1"/>
  <c r="AL190" i="1"/>
  <c r="AO190" i="1"/>
  <c r="AP190" i="1"/>
  <c r="AV190" i="1"/>
  <c r="AW190" i="1"/>
  <c r="AX190" i="1"/>
  <c r="BC190" i="1"/>
  <c r="BD190" i="1"/>
  <c r="BF190" i="1"/>
  <c r="BH190" i="1"/>
  <c r="BI190" i="1"/>
  <c r="BJ190" i="1"/>
  <c r="J191" i="1"/>
  <c r="K191" i="1"/>
  <c r="L191" i="1"/>
  <c r="N191" i="1"/>
  <c r="Z191" i="1"/>
  <c r="AB191" i="1"/>
  <c r="AC191" i="1"/>
  <c r="AD191" i="1"/>
  <c r="AE191" i="1"/>
  <c r="AF191" i="1"/>
  <c r="AG191" i="1"/>
  <c r="AH191" i="1"/>
  <c r="AJ191" i="1"/>
  <c r="AK191" i="1"/>
  <c r="AL191" i="1"/>
  <c r="AO191" i="1"/>
  <c r="AP191" i="1"/>
  <c r="AV191" i="1"/>
  <c r="AW191" i="1"/>
  <c r="AX191" i="1"/>
  <c r="BC191" i="1"/>
  <c r="BD191" i="1"/>
  <c r="BF191" i="1"/>
  <c r="BH191" i="1"/>
  <c r="BI191" i="1"/>
  <c r="BJ191" i="1"/>
  <c r="J192" i="1"/>
  <c r="K192" i="1"/>
  <c r="L192" i="1"/>
  <c r="N192" i="1"/>
  <c r="Z192" i="1"/>
  <c r="AB192" i="1"/>
  <c r="AC192" i="1"/>
  <c r="AD192" i="1"/>
  <c r="AE192" i="1"/>
  <c r="AF192" i="1"/>
  <c r="AG192" i="1"/>
  <c r="AH192" i="1"/>
  <c r="AJ192" i="1"/>
  <c r="AK192" i="1"/>
  <c r="AL192" i="1"/>
  <c r="AO192" i="1"/>
  <c r="AP192" i="1"/>
  <c r="AV192" i="1"/>
  <c r="AW192" i="1"/>
  <c r="AX192" i="1"/>
  <c r="BC192" i="1"/>
  <c r="BD192" i="1"/>
  <c r="BF192" i="1"/>
  <c r="BH192" i="1"/>
  <c r="BI192" i="1"/>
  <c r="BJ192" i="1"/>
  <c r="J193" i="1"/>
  <c r="K193" i="1"/>
  <c r="L193" i="1"/>
  <c r="N193" i="1"/>
  <c r="Z193" i="1"/>
  <c r="AB193" i="1"/>
  <c r="AC193" i="1"/>
  <c r="AD193" i="1"/>
  <c r="AE193" i="1"/>
  <c r="AF193" i="1"/>
  <c r="AG193" i="1"/>
  <c r="AH193" i="1"/>
  <c r="AJ193" i="1"/>
  <c r="AK193" i="1"/>
  <c r="AL193" i="1"/>
  <c r="AO193" i="1"/>
  <c r="AP193" i="1"/>
  <c r="AV193" i="1"/>
  <c r="AW193" i="1"/>
  <c r="AX193" i="1"/>
  <c r="BC193" i="1"/>
  <c r="BD193" i="1"/>
  <c r="BF193" i="1"/>
  <c r="BH193" i="1"/>
  <c r="BI193" i="1"/>
  <c r="BJ193" i="1"/>
  <c r="J194" i="1"/>
  <c r="K194" i="1"/>
  <c r="L194" i="1"/>
  <c r="N194" i="1"/>
  <c r="Z194" i="1"/>
  <c r="AB194" i="1"/>
  <c r="AC194" i="1"/>
  <c r="AD194" i="1"/>
  <c r="AE194" i="1"/>
  <c r="AF194" i="1"/>
  <c r="AG194" i="1"/>
  <c r="AH194" i="1"/>
  <c r="AJ194" i="1"/>
  <c r="AK194" i="1"/>
  <c r="AL194" i="1"/>
  <c r="AO194" i="1"/>
  <c r="AP194" i="1"/>
  <c r="AV194" i="1"/>
  <c r="AW194" i="1"/>
  <c r="AX194" i="1"/>
  <c r="BC194" i="1"/>
  <c r="BD194" i="1"/>
  <c r="BF194" i="1"/>
  <c r="BH194" i="1"/>
  <c r="BI194" i="1"/>
  <c r="BJ194" i="1"/>
  <c r="J195" i="1"/>
  <c r="K195" i="1"/>
  <c r="L195" i="1"/>
  <c r="N195" i="1"/>
  <c r="Z195" i="1"/>
  <c r="AB195" i="1"/>
  <c r="AC195" i="1"/>
  <c r="AD195" i="1"/>
  <c r="AE195" i="1"/>
  <c r="AF195" i="1"/>
  <c r="AG195" i="1"/>
  <c r="AH195" i="1"/>
  <c r="AJ195" i="1"/>
  <c r="AK195" i="1"/>
  <c r="AL195" i="1"/>
  <c r="AO195" i="1"/>
  <c r="AP195" i="1"/>
  <c r="AV195" i="1"/>
  <c r="AW195" i="1"/>
  <c r="AX195" i="1"/>
  <c r="BC195" i="1"/>
  <c r="BD195" i="1"/>
  <c r="BF195" i="1"/>
  <c r="BH195" i="1"/>
  <c r="BI195" i="1"/>
  <c r="BJ195" i="1"/>
  <c r="J197" i="1"/>
  <c r="K197" i="1"/>
  <c r="L197" i="1"/>
  <c r="N197" i="1"/>
  <c r="Z197" i="1"/>
  <c r="AB197" i="1"/>
  <c r="AC197" i="1"/>
  <c r="AD197" i="1"/>
  <c r="AE197" i="1"/>
  <c r="AF197" i="1"/>
  <c r="AG197" i="1"/>
  <c r="AH197" i="1"/>
  <c r="AJ197" i="1"/>
  <c r="AK197" i="1"/>
  <c r="AL197" i="1"/>
  <c r="AO197" i="1"/>
  <c r="AP197" i="1"/>
  <c r="AV197" i="1"/>
  <c r="AW197" i="1"/>
  <c r="AX197" i="1"/>
  <c r="BC197" i="1"/>
  <c r="BD197" i="1"/>
  <c r="BF197" i="1"/>
  <c r="BH197" i="1"/>
  <c r="BI197" i="1"/>
  <c r="BJ197" i="1"/>
  <c r="J199" i="1"/>
  <c r="K199" i="1"/>
  <c r="L199" i="1"/>
  <c r="N199" i="1"/>
  <c r="Z199" i="1"/>
  <c r="AB199" i="1"/>
  <c r="AC199" i="1"/>
  <c r="AD199" i="1"/>
  <c r="AE199" i="1"/>
  <c r="AF199" i="1"/>
  <c r="AG199" i="1"/>
  <c r="AH199" i="1"/>
  <c r="AJ199" i="1"/>
  <c r="AK199" i="1"/>
  <c r="AL199" i="1"/>
  <c r="AO199" i="1"/>
  <c r="AP199" i="1"/>
  <c r="AV199" i="1"/>
  <c r="AW199" i="1"/>
  <c r="AX199" i="1"/>
  <c r="BC199" i="1"/>
  <c r="BD199" i="1"/>
  <c r="BF199" i="1"/>
  <c r="BH199" i="1"/>
  <c r="BI199" i="1"/>
  <c r="BJ199" i="1"/>
  <c r="J200" i="1"/>
  <c r="K200" i="1"/>
  <c r="L200" i="1"/>
  <c r="N200" i="1"/>
  <c r="Z200" i="1"/>
  <c r="AB200" i="1"/>
  <c r="AC200" i="1"/>
  <c r="AD200" i="1"/>
  <c r="AE200" i="1"/>
  <c r="AF200" i="1"/>
  <c r="AG200" i="1"/>
  <c r="AH200" i="1"/>
  <c r="AJ200" i="1"/>
  <c r="AK200" i="1"/>
  <c r="AL200" i="1"/>
  <c r="AO200" i="1"/>
  <c r="AP200" i="1"/>
  <c r="AV200" i="1"/>
  <c r="AW200" i="1"/>
  <c r="AX200" i="1"/>
  <c r="BC200" i="1"/>
  <c r="BD200" i="1"/>
  <c r="BF200" i="1"/>
  <c r="BH200" i="1"/>
  <c r="BI200" i="1"/>
  <c r="BJ200" i="1"/>
  <c r="J201" i="1"/>
  <c r="K201" i="1"/>
  <c r="L201" i="1"/>
  <c r="N201" i="1"/>
  <c r="Z201" i="1"/>
  <c r="AB201" i="1"/>
  <c r="AC201" i="1"/>
  <c r="AD201" i="1"/>
  <c r="AE201" i="1"/>
  <c r="AF201" i="1"/>
  <c r="AG201" i="1"/>
  <c r="AH201" i="1"/>
  <c r="AJ201" i="1"/>
  <c r="AK201" i="1"/>
  <c r="AL201" i="1"/>
  <c r="AO201" i="1"/>
  <c r="AP201" i="1"/>
  <c r="AV201" i="1"/>
  <c r="AW201" i="1"/>
  <c r="AX201" i="1"/>
  <c r="BC201" i="1"/>
  <c r="BD201" i="1"/>
  <c r="BF201" i="1"/>
  <c r="BH201" i="1"/>
  <c r="BI201" i="1"/>
  <c r="BJ201" i="1"/>
  <c r="J202" i="1"/>
  <c r="K202" i="1"/>
  <c r="L202" i="1"/>
  <c r="N202" i="1"/>
  <c r="Z202" i="1"/>
  <c r="AB202" i="1"/>
  <c r="AC202" i="1"/>
  <c r="AD202" i="1"/>
  <c r="AE202" i="1"/>
  <c r="AF202" i="1"/>
  <c r="AG202" i="1"/>
  <c r="AH202" i="1"/>
  <c r="AJ202" i="1"/>
  <c r="AK202" i="1"/>
  <c r="AL202" i="1"/>
  <c r="AO202" i="1"/>
  <c r="AP202" i="1"/>
  <c r="AV202" i="1"/>
  <c r="AW202" i="1"/>
  <c r="AX202" i="1"/>
  <c r="BC202" i="1"/>
  <c r="BD202" i="1"/>
  <c r="BF202" i="1"/>
  <c r="BH202" i="1"/>
  <c r="BI202" i="1"/>
  <c r="BJ202" i="1"/>
  <c r="J203" i="1"/>
  <c r="K203" i="1"/>
  <c r="L203" i="1"/>
  <c r="N203" i="1"/>
  <c r="Z203" i="1"/>
  <c r="AB203" i="1"/>
  <c r="AC203" i="1"/>
  <c r="AD203" i="1"/>
  <c r="AE203" i="1"/>
  <c r="AF203" i="1"/>
  <c r="AG203" i="1"/>
  <c r="AH203" i="1"/>
  <c r="AJ203" i="1"/>
  <c r="AK203" i="1"/>
  <c r="AL203" i="1"/>
  <c r="AO203" i="1"/>
  <c r="AP203" i="1"/>
  <c r="AV203" i="1"/>
  <c r="AW203" i="1"/>
  <c r="AX203" i="1"/>
  <c r="BC203" i="1"/>
  <c r="BD203" i="1"/>
  <c r="BF203" i="1"/>
  <c r="BH203" i="1"/>
  <c r="BI203" i="1"/>
  <c r="BJ203" i="1"/>
  <c r="J204" i="1"/>
  <c r="K204" i="1"/>
  <c r="L204" i="1"/>
  <c r="N204" i="1"/>
  <c r="Z204" i="1"/>
  <c r="AB204" i="1"/>
  <c r="AC204" i="1"/>
  <c r="AD204" i="1"/>
  <c r="AE204" i="1"/>
  <c r="AF204" i="1"/>
  <c r="AG204" i="1"/>
  <c r="AH204" i="1"/>
  <c r="AJ204" i="1"/>
  <c r="AK204" i="1"/>
  <c r="AL204" i="1"/>
  <c r="AO204" i="1"/>
  <c r="AP204" i="1"/>
  <c r="AV204" i="1"/>
  <c r="AW204" i="1"/>
  <c r="AX204" i="1"/>
  <c r="BC204" i="1"/>
  <c r="BD204" i="1"/>
  <c r="BF204" i="1"/>
  <c r="BH204" i="1"/>
  <c r="BI204" i="1"/>
  <c r="BJ204" i="1"/>
  <c r="J205" i="1"/>
  <c r="K205" i="1"/>
  <c r="L205" i="1"/>
  <c r="N205" i="1"/>
  <c r="Z205" i="1"/>
  <c r="AB205" i="1"/>
  <c r="AC205" i="1"/>
  <c r="AD205" i="1"/>
  <c r="AE205" i="1"/>
  <c r="AF205" i="1"/>
  <c r="AG205" i="1"/>
  <c r="AH205" i="1"/>
  <c r="AJ205" i="1"/>
  <c r="AK205" i="1"/>
  <c r="AL205" i="1"/>
  <c r="AO205" i="1"/>
  <c r="AP205" i="1"/>
  <c r="AV205" i="1"/>
  <c r="AW205" i="1"/>
  <c r="AX205" i="1"/>
  <c r="BC205" i="1"/>
  <c r="BD205" i="1"/>
  <c r="BF205" i="1"/>
  <c r="BH205" i="1"/>
  <c r="BI205" i="1"/>
  <c r="BJ205" i="1"/>
  <c r="J207" i="1"/>
  <c r="K207" i="1"/>
  <c r="L207" i="1"/>
  <c r="N207" i="1"/>
  <c r="Z207" i="1"/>
  <c r="AB207" i="1"/>
  <c r="AC207" i="1"/>
  <c r="AD207" i="1"/>
  <c r="AE207" i="1"/>
  <c r="AF207" i="1"/>
  <c r="AG207" i="1"/>
  <c r="AH207" i="1"/>
  <c r="AJ207" i="1"/>
  <c r="AK207" i="1"/>
  <c r="AL207" i="1"/>
  <c r="AO207" i="1"/>
  <c r="AP207" i="1"/>
  <c r="AV207" i="1"/>
  <c r="AW207" i="1"/>
  <c r="AX207" i="1"/>
  <c r="BC207" i="1"/>
  <c r="BD207" i="1"/>
  <c r="BF207" i="1"/>
  <c r="BH207" i="1"/>
  <c r="BI207" i="1"/>
  <c r="BJ207" i="1"/>
  <c r="J208" i="1"/>
  <c r="K208" i="1"/>
  <c r="L208" i="1"/>
  <c r="N208" i="1"/>
  <c r="Z208" i="1"/>
  <c r="AB208" i="1"/>
  <c r="AC208" i="1"/>
  <c r="AD208" i="1"/>
  <c r="AE208" i="1"/>
  <c r="AF208" i="1"/>
  <c r="AG208" i="1"/>
  <c r="AH208" i="1"/>
  <c r="AJ208" i="1"/>
  <c r="AK208" i="1"/>
  <c r="AL208" i="1"/>
  <c r="AO208" i="1"/>
  <c r="AP208" i="1"/>
  <c r="AV208" i="1"/>
  <c r="AW208" i="1"/>
  <c r="AX208" i="1"/>
  <c r="BC208" i="1"/>
  <c r="BD208" i="1"/>
  <c r="BF208" i="1"/>
  <c r="BH208" i="1"/>
  <c r="BI208" i="1"/>
  <c r="BJ208" i="1"/>
  <c r="J209" i="1"/>
  <c r="K209" i="1"/>
  <c r="L209" i="1"/>
  <c r="N209" i="1"/>
  <c r="Z209" i="1"/>
  <c r="AB209" i="1"/>
  <c r="AC209" i="1"/>
  <c r="AD209" i="1"/>
  <c r="AE209" i="1"/>
  <c r="AF209" i="1"/>
  <c r="AG209" i="1"/>
  <c r="AH209" i="1"/>
  <c r="AJ209" i="1"/>
  <c r="AK209" i="1"/>
  <c r="AL209" i="1"/>
  <c r="AO209" i="1"/>
  <c r="AP209" i="1"/>
  <c r="AV209" i="1"/>
  <c r="AW209" i="1"/>
  <c r="AX209" i="1"/>
  <c r="BC209" i="1"/>
  <c r="BD209" i="1"/>
  <c r="BF209" i="1"/>
  <c r="BH209" i="1"/>
  <c r="BI209" i="1"/>
  <c r="BJ209" i="1"/>
  <c r="J210" i="1"/>
  <c r="K210" i="1"/>
  <c r="L210" i="1"/>
  <c r="N210" i="1"/>
  <c r="Z210" i="1"/>
  <c r="AB210" i="1"/>
  <c r="AC210" i="1"/>
  <c r="AD210" i="1"/>
  <c r="AE210" i="1"/>
  <c r="AF210" i="1"/>
  <c r="AG210" i="1"/>
  <c r="AH210" i="1"/>
  <c r="AJ210" i="1"/>
  <c r="AK210" i="1"/>
  <c r="AL210" i="1"/>
  <c r="AO210" i="1"/>
  <c r="AP210" i="1"/>
  <c r="AV210" i="1"/>
  <c r="AW210" i="1"/>
  <c r="AX210" i="1"/>
  <c r="BC210" i="1"/>
  <c r="BD210" i="1"/>
  <c r="BF210" i="1"/>
  <c r="BH210" i="1"/>
  <c r="BI210" i="1"/>
  <c r="BJ210" i="1"/>
  <c r="J212" i="1"/>
  <c r="K212" i="1"/>
  <c r="L212" i="1"/>
  <c r="N212" i="1"/>
  <c r="Z212" i="1"/>
  <c r="AB212" i="1"/>
  <c r="AC212" i="1"/>
  <c r="AD212" i="1"/>
  <c r="AE212" i="1"/>
  <c r="AF212" i="1"/>
  <c r="AG212" i="1"/>
  <c r="AH212" i="1"/>
  <c r="AJ212" i="1"/>
  <c r="AK212" i="1"/>
  <c r="AL212" i="1"/>
  <c r="AO212" i="1"/>
  <c r="AP212" i="1"/>
  <c r="AV212" i="1"/>
  <c r="AW212" i="1"/>
  <c r="AX212" i="1"/>
  <c r="BC212" i="1"/>
  <c r="BD212" i="1"/>
  <c r="BF212" i="1"/>
  <c r="BH212" i="1"/>
  <c r="BI212" i="1"/>
  <c r="BJ212" i="1"/>
  <c r="J213" i="1"/>
  <c r="K213" i="1"/>
  <c r="L213" i="1"/>
  <c r="N213" i="1"/>
  <c r="AS213" i="1"/>
  <c r="AT213" i="1"/>
  <c r="AU213" i="1"/>
  <c r="J214" i="1"/>
  <c r="K214" i="1"/>
  <c r="L214" i="1"/>
  <c r="N214" i="1"/>
  <c r="Z214" i="1"/>
  <c r="AB214" i="1"/>
  <c r="AC214" i="1"/>
  <c r="AD214" i="1"/>
  <c r="AE214" i="1"/>
  <c r="AF214" i="1"/>
  <c r="AG214" i="1"/>
  <c r="AH214" i="1"/>
  <c r="AJ214" i="1"/>
  <c r="AK214" i="1"/>
  <c r="AL214" i="1"/>
  <c r="AO214" i="1"/>
  <c r="AP214" i="1"/>
  <c r="AV214" i="1"/>
  <c r="AW214" i="1"/>
  <c r="AX214" i="1"/>
  <c r="BC214" i="1"/>
  <c r="BD214" i="1"/>
  <c r="BF214" i="1"/>
  <c r="BH214" i="1"/>
  <c r="BI214" i="1"/>
  <c r="BJ214" i="1"/>
  <c r="J215" i="1"/>
  <c r="K215" i="1"/>
  <c r="L215" i="1"/>
  <c r="N215" i="1"/>
  <c r="Z215" i="1"/>
  <c r="AB215" i="1"/>
  <c r="AC215" i="1"/>
  <c r="AD215" i="1"/>
  <c r="AE215" i="1"/>
  <c r="AF215" i="1"/>
  <c r="AG215" i="1"/>
  <c r="AH215" i="1"/>
  <c r="AJ215" i="1"/>
  <c r="AK215" i="1"/>
  <c r="AL215" i="1"/>
  <c r="AO215" i="1"/>
  <c r="AP215" i="1"/>
  <c r="AV215" i="1"/>
  <c r="AW215" i="1"/>
  <c r="AX215" i="1"/>
  <c r="BC215" i="1"/>
  <c r="BD215" i="1"/>
  <c r="BF215" i="1"/>
  <c r="BH215" i="1"/>
  <c r="BI215" i="1"/>
  <c r="BJ215" i="1"/>
  <c r="J216" i="1"/>
  <c r="K216" i="1"/>
  <c r="L216" i="1"/>
  <c r="N216" i="1"/>
  <c r="Z216" i="1"/>
  <c r="AB216" i="1"/>
  <c r="AC216" i="1"/>
  <c r="AD216" i="1"/>
  <c r="AE216" i="1"/>
  <c r="AF216" i="1"/>
  <c r="AG216" i="1"/>
  <c r="AH216" i="1"/>
  <c r="AJ216" i="1"/>
  <c r="AK216" i="1"/>
  <c r="AL216" i="1"/>
  <c r="AO216" i="1"/>
  <c r="AP216" i="1"/>
  <c r="AV216" i="1"/>
  <c r="AW216" i="1"/>
  <c r="AX216" i="1"/>
  <c r="BC216" i="1"/>
  <c r="BD216" i="1"/>
  <c r="BF216" i="1"/>
  <c r="BH216" i="1"/>
  <c r="BI216" i="1"/>
  <c r="BJ216" i="1"/>
  <c r="J217" i="1"/>
  <c r="K217" i="1"/>
  <c r="L217" i="1"/>
  <c r="N217" i="1"/>
  <c r="Z217" i="1"/>
  <c r="AB217" i="1"/>
  <c r="AC217" i="1"/>
  <c r="AD217" i="1"/>
  <c r="AE217" i="1"/>
  <c r="AF217" i="1"/>
  <c r="AG217" i="1"/>
  <c r="AH217" i="1"/>
  <c r="AJ217" i="1"/>
  <c r="AK217" i="1"/>
  <c r="AL217" i="1"/>
  <c r="AO217" i="1"/>
  <c r="AP217" i="1"/>
  <c r="AV217" i="1"/>
  <c r="AW217" i="1"/>
  <c r="AX217" i="1"/>
  <c r="BC217" i="1"/>
  <c r="BD217" i="1"/>
  <c r="BF217" i="1"/>
  <c r="BH217" i="1"/>
  <c r="BI217" i="1"/>
  <c r="BJ217" i="1"/>
  <c r="J218" i="1"/>
  <c r="K218" i="1"/>
  <c r="L218" i="1"/>
  <c r="N218" i="1"/>
  <c r="Z218" i="1"/>
  <c r="AB218" i="1"/>
  <c r="AC218" i="1"/>
  <c r="AD218" i="1"/>
  <c r="AE218" i="1"/>
  <c r="AF218" i="1"/>
  <c r="AG218" i="1"/>
  <c r="AH218" i="1"/>
  <c r="AJ218" i="1"/>
  <c r="AK218" i="1"/>
  <c r="AL218" i="1"/>
  <c r="AO218" i="1"/>
  <c r="AP218" i="1"/>
  <c r="AV218" i="1"/>
  <c r="AW218" i="1"/>
  <c r="AX218" i="1"/>
  <c r="BC218" i="1"/>
  <c r="BD218" i="1"/>
  <c r="BF218" i="1"/>
  <c r="BH218" i="1"/>
  <c r="BI218" i="1"/>
  <c r="BJ218" i="1"/>
  <c r="J219" i="1"/>
  <c r="K219" i="1"/>
  <c r="L219" i="1"/>
  <c r="N219" i="1"/>
  <c r="Z219" i="1"/>
  <c r="AB219" i="1"/>
  <c r="AC219" i="1"/>
  <c r="AD219" i="1"/>
  <c r="AE219" i="1"/>
  <c r="AF219" i="1"/>
  <c r="AG219" i="1"/>
  <c r="AH219" i="1"/>
  <c r="AJ219" i="1"/>
  <c r="AK219" i="1"/>
  <c r="AL219" i="1"/>
  <c r="AO219" i="1"/>
  <c r="AP219" i="1"/>
  <c r="AV219" i="1"/>
  <c r="AW219" i="1"/>
  <c r="AX219" i="1"/>
  <c r="BC219" i="1"/>
  <c r="BD219" i="1"/>
  <c r="BF219" i="1"/>
  <c r="BH219" i="1"/>
  <c r="BI219" i="1"/>
  <c r="BJ219" i="1"/>
  <c r="J220" i="1"/>
  <c r="K220" i="1"/>
  <c r="L220" i="1"/>
  <c r="N220" i="1"/>
  <c r="Z220" i="1"/>
  <c r="AB220" i="1"/>
  <c r="AC220" i="1"/>
  <c r="AD220" i="1"/>
  <c r="AE220" i="1"/>
  <c r="AF220" i="1"/>
  <c r="AG220" i="1"/>
  <c r="AH220" i="1"/>
  <c r="AJ220" i="1"/>
  <c r="AK220" i="1"/>
  <c r="AL220" i="1"/>
  <c r="AO220" i="1"/>
  <c r="AP220" i="1"/>
  <c r="AV220" i="1"/>
  <c r="AW220" i="1"/>
  <c r="AX220" i="1"/>
  <c r="BC220" i="1"/>
  <c r="BD220" i="1"/>
  <c r="BF220" i="1"/>
  <c r="BH220" i="1"/>
  <c r="BI220" i="1"/>
  <c r="BJ220" i="1"/>
  <c r="J221" i="1"/>
  <c r="K221" i="1"/>
  <c r="L221" i="1"/>
  <c r="N221" i="1"/>
  <c r="Z221" i="1"/>
  <c r="AB221" i="1"/>
  <c r="AC221" i="1"/>
  <c r="AD221" i="1"/>
  <c r="AE221" i="1"/>
  <c r="AF221" i="1"/>
  <c r="AG221" i="1"/>
  <c r="AH221" i="1"/>
  <c r="AJ221" i="1"/>
  <c r="AK221" i="1"/>
  <c r="AL221" i="1"/>
  <c r="AO221" i="1"/>
  <c r="AP221" i="1"/>
  <c r="AV221" i="1"/>
  <c r="AW221" i="1"/>
  <c r="AX221" i="1"/>
  <c r="BC221" i="1"/>
  <c r="BD221" i="1"/>
  <c r="BF221" i="1"/>
  <c r="BH221" i="1"/>
  <c r="BI221" i="1"/>
  <c r="BJ221" i="1"/>
  <c r="J222" i="1"/>
  <c r="K222" i="1"/>
  <c r="L222" i="1"/>
  <c r="N222" i="1"/>
  <c r="Z222" i="1"/>
  <c r="AB222" i="1"/>
  <c r="AC222" i="1"/>
  <c r="AD222" i="1"/>
  <c r="AE222" i="1"/>
  <c r="AF222" i="1"/>
  <c r="AG222" i="1"/>
  <c r="AH222" i="1"/>
  <c r="AJ222" i="1"/>
  <c r="AK222" i="1"/>
  <c r="AL222" i="1"/>
  <c r="AO222" i="1"/>
  <c r="AP222" i="1"/>
  <c r="AV222" i="1"/>
  <c r="AW222" i="1"/>
  <c r="AX222" i="1"/>
  <c r="BC222" i="1"/>
  <c r="BD222" i="1"/>
  <c r="BF222" i="1"/>
  <c r="BH222" i="1"/>
  <c r="BI222" i="1"/>
  <c r="BJ222" i="1"/>
  <c r="J223" i="1"/>
  <c r="K223" i="1"/>
  <c r="L223" i="1"/>
  <c r="N223" i="1"/>
  <c r="Z223" i="1"/>
  <c r="AB223" i="1"/>
  <c r="AC223" i="1"/>
  <c r="AD223" i="1"/>
  <c r="AE223" i="1"/>
  <c r="AF223" i="1"/>
  <c r="AG223" i="1"/>
  <c r="AH223" i="1"/>
  <c r="AJ223" i="1"/>
  <c r="AK223" i="1"/>
  <c r="AL223" i="1"/>
  <c r="AO223" i="1"/>
  <c r="AP223" i="1"/>
  <c r="AV223" i="1"/>
  <c r="AW223" i="1"/>
  <c r="AX223" i="1"/>
  <c r="BC223" i="1"/>
  <c r="BD223" i="1"/>
  <c r="BF223" i="1"/>
  <c r="BH223" i="1"/>
  <c r="BI223" i="1"/>
  <c r="BJ223" i="1"/>
  <c r="J224" i="1"/>
  <c r="K224" i="1"/>
  <c r="L224" i="1"/>
  <c r="N224" i="1"/>
  <c r="Z224" i="1"/>
  <c r="AB224" i="1"/>
  <c r="AC224" i="1"/>
  <c r="AD224" i="1"/>
  <c r="AE224" i="1"/>
  <c r="AF224" i="1"/>
  <c r="AG224" i="1"/>
  <c r="AH224" i="1"/>
  <c r="AJ224" i="1"/>
  <c r="AK224" i="1"/>
  <c r="AL224" i="1"/>
  <c r="AO224" i="1"/>
  <c r="AP224" i="1"/>
  <c r="AV224" i="1"/>
  <c r="AW224" i="1"/>
  <c r="AX224" i="1"/>
  <c r="BC224" i="1"/>
  <c r="BD224" i="1"/>
  <c r="BF224" i="1"/>
  <c r="BH224" i="1"/>
  <c r="BI224" i="1"/>
  <c r="BJ224" i="1"/>
  <c r="J225" i="1"/>
  <c r="K225" i="1"/>
  <c r="L225" i="1"/>
  <c r="N225" i="1"/>
  <c r="AS225" i="1"/>
  <c r="AT225" i="1"/>
  <c r="AU225" i="1"/>
  <c r="J226" i="1"/>
  <c r="K226" i="1"/>
  <c r="L226" i="1"/>
  <c r="N226" i="1"/>
  <c r="Z226" i="1"/>
  <c r="AB226" i="1"/>
  <c r="AC226" i="1"/>
  <c r="AD226" i="1"/>
  <c r="AE226" i="1"/>
  <c r="AF226" i="1"/>
  <c r="AG226" i="1"/>
  <c r="AH226" i="1"/>
  <c r="AJ226" i="1"/>
  <c r="AK226" i="1"/>
  <c r="AL226" i="1"/>
  <c r="AO226" i="1"/>
  <c r="AP226" i="1"/>
  <c r="AV226" i="1"/>
  <c r="AW226" i="1"/>
  <c r="AX226" i="1"/>
  <c r="BC226" i="1"/>
  <c r="BD226" i="1"/>
  <c r="BF226" i="1"/>
  <c r="BH226" i="1"/>
  <c r="BI226" i="1"/>
  <c r="BJ226" i="1"/>
  <c r="J227" i="1"/>
  <c r="K227" i="1"/>
  <c r="L227" i="1"/>
  <c r="N227" i="1"/>
  <c r="Z227" i="1"/>
  <c r="AB227" i="1"/>
  <c r="AC227" i="1"/>
  <c r="AD227" i="1"/>
  <c r="AE227" i="1"/>
  <c r="AF227" i="1"/>
  <c r="AG227" i="1"/>
  <c r="AH227" i="1"/>
  <c r="AJ227" i="1"/>
  <c r="AK227" i="1"/>
  <c r="AL227" i="1"/>
  <c r="AO227" i="1"/>
  <c r="AP227" i="1"/>
  <c r="AV227" i="1"/>
  <c r="AW227" i="1"/>
  <c r="AX227" i="1"/>
  <c r="BC227" i="1"/>
  <c r="BD227" i="1"/>
  <c r="BF227" i="1"/>
  <c r="BH227" i="1"/>
  <c r="BI227" i="1"/>
  <c r="BJ227" i="1"/>
  <c r="J228" i="1"/>
  <c r="K228" i="1"/>
  <c r="L228" i="1"/>
  <c r="N228" i="1"/>
  <c r="Z228" i="1"/>
  <c r="AB228" i="1"/>
  <c r="AC228" i="1"/>
  <c r="AD228" i="1"/>
  <c r="AE228" i="1"/>
  <c r="AF228" i="1"/>
  <c r="AG228" i="1"/>
  <c r="AH228" i="1"/>
  <c r="AJ228" i="1"/>
  <c r="AK228" i="1"/>
  <c r="AL228" i="1"/>
  <c r="AO228" i="1"/>
  <c r="AP228" i="1"/>
  <c r="AV228" i="1"/>
  <c r="AW228" i="1"/>
  <c r="AX228" i="1"/>
  <c r="BC228" i="1"/>
  <c r="BD228" i="1"/>
  <c r="BF228" i="1"/>
  <c r="BH228" i="1"/>
  <c r="BI228" i="1"/>
  <c r="BJ228" i="1"/>
  <c r="J229" i="1"/>
  <c r="K229" i="1"/>
  <c r="L229" i="1"/>
  <c r="N229" i="1"/>
  <c r="Z229" i="1"/>
  <c r="AB229" i="1"/>
  <c r="AC229" i="1"/>
  <c r="AD229" i="1"/>
  <c r="AE229" i="1"/>
  <c r="AF229" i="1"/>
  <c r="AG229" i="1"/>
  <c r="AH229" i="1"/>
  <c r="AJ229" i="1"/>
  <c r="AK229" i="1"/>
  <c r="AL229" i="1"/>
  <c r="AO229" i="1"/>
  <c r="AP229" i="1"/>
  <c r="AV229" i="1"/>
  <c r="AW229" i="1"/>
  <c r="AX229" i="1"/>
  <c r="BC229" i="1"/>
  <c r="BD229" i="1"/>
  <c r="BF229" i="1"/>
  <c r="BH229" i="1"/>
  <c r="BI229" i="1"/>
  <c r="BJ229" i="1"/>
  <c r="J230" i="1"/>
  <c r="K230" i="1"/>
  <c r="L230" i="1"/>
  <c r="N230" i="1"/>
  <c r="Z230" i="1"/>
  <c r="AB230" i="1"/>
  <c r="AC230" i="1"/>
  <c r="AD230" i="1"/>
  <c r="AE230" i="1"/>
  <c r="AF230" i="1"/>
  <c r="AG230" i="1"/>
  <c r="AH230" i="1"/>
  <c r="AJ230" i="1"/>
  <c r="AK230" i="1"/>
  <c r="AL230" i="1"/>
  <c r="AO230" i="1"/>
  <c r="AP230" i="1"/>
  <c r="AV230" i="1"/>
  <c r="AW230" i="1"/>
  <c r="AX230" i="1"/>
  <c r="BC230" i="1"/>
  <c r="BD230" i="1"/>
  <c r="BF230" i="1"/>
  <c r="BH230" i="1"/>
  <c r="BI230" i="1"/>
  <c r="BJ230" i="1"/>
  <c r="J231" i="1"/>
  <c r="K231" i="1"/>
  <c r="L231" i="1"/>
  <c r="N231" i="1"/>
  <c r="Z231" i="1"/>
  <c r="AB231" i="1"/>
  <c r="AC231" i="1"/>
  <c r="AD231" i="1"/>
  <c r="AE231" i="1"/>
  <c r="AF231" i="1"/>
  <c r="AG231" i="1"/>
  <c r="AH231" i="1"/>
  <c r="AJ231" i="1"/>
  <c r="AK231" i="1"/>
  <c r="AL231" i="1"/>
  <c r="AO231" i="1"/>
  <c r="AP231" i="1"/>
  <c r="AV231" i="1"/>
  <c r="AW231" i="1"/>
  <c r="AX231" i="1"/>
  <c r="BC231" i="1"/>
  <c r="BD231" i="1"/>
  <c r="BF231" i="1"/>
  <c r="BH231" i="1"/>
  <c r="BI231" i="1"/>
  <c r="BJ231" i="1"/>
  <c r="J232" i="1"/>
  <c r="K232" i="1"/>
  <c r="L232" i="1"/>
  <c r="N232" i="1"/>
  <c r="Z232" i="1"/>
  <c r="AB232" i="1"/>
  <c r="AC232" i="1"/>
  <c r="AD232" i="1"/>
  <c r="AE232" i="1"/>
  <c r="AF232" i="1"/>
  <c r="AG232" i="1"/>
  <c r="AH232" i="1"/>
  <c r="AJ232" i="1"/>
  <c r="AK232" i="1"/>
  <c r="AL232" i="1"/>
  <c r="AO232" i="1"/>
  <c r="AP232" i="1"/>
  <c r="AV232" i="1"/>
  <c r="AW232" i="1"/>
  <c r="AX232" i="1"/>
  <c r="BC232" i="1"/>
  <c r="BD232" i="1"/>
  <c r="BF232" i="1"/>
  <c r="BH232" i="1"/>
  <c r="BI232" i="1"/>
  <c r="BJ232" i="1"/>
  <c r="J233" i="1"/>
  <c r="K233" i="1"/>
  <c r="L233" i="1"/>
  <c r="N233" i="1"/>
  <c r="Z233" i="1"/>
  <c r="AB233" i="1"/>
  <c r="AC233" i="1"/>
  <c r="AD233" i="1"/>
  <c r="AE233" i="1"/>
  <c r="AF233" i="1"/>
  <c r="AG233" i="1"/>
  <c r="AH233" i="1"/>
  <c r="AJ233" i="1"/>
  <c r="AK233" i="1"/>
  <c r="AL233" i="1"/>
  <c r="AO233" i="1"/>
  <c r="AP233" i="1"/>
  <c r="AV233" i="1"/>
  <c r="AW233" i="1"/>
  <c r="AX233" i="1"/>
  <c r="BC233" i="1"/>
  <c r="BD233" i="1"/>
  <c r="BF233" i="1"/>
  <c r="BH233" i="1"/>
  <c r="BI233" i="1"/>
  <c r="BJ233" i="1"/>
  <c r="J234" i="1"/>
  <c r="K234" i="1"/>
  <c r="L234" i="1"/>
  <c r="N234" i="1"/>
  <c r="Z234" i="1"/>
  <c r="AB234" i="1"/>
  <c r="AC234" i="1"/>
  <c r="AD234" i="1"/>
  <c r="AE234" i="1"/>
  <c r="AF234" i="1"/>
  <c r="AG234" i="1"/>
  <c r="AH234" i="1"/>
  <c r="AJ234" i="1"/>
  <c r="AK234" i="1"/>
  <c r="AL234" i="1"/>
  <c r="AO234" i="1"/>
  <c r="AP234" i="1"/>
  <c r="AV234" i="1"/>
  <c r="AW234" i="1"/>
  <c r="AX234" i="1"/>
  <c r="BC234" i="1"/>
  <c r="BD234" i="1"/>
  <c r="BF234" i="1"/>
  <c r="BH234" i="1"/>
  <c r="BI234" i="1"/>
  <c r="BJ234" i="1"/>
  <c r="J235" i="1"/>
  <c r="K235" i="1"/>
  <c r="L235" i="1"/>
  <c r="N235" i="1"/>
  <c r="Z235" i="1"/>
  <c r="AB235" i="1"/>
  <c r="AC235" i="1"/>
  <c r="AD235" i="1"/>
  <c r="AE235" i="1"/>
  <c r="AF235" i="1"/>
  <c r="AG235" i="1"/>
  <c r="AH235" i="1"/>
  <c r="AJ235" i="1"/>
  <c r="AK235" i="1"/>
  <c r="AL235" i="1"/>
  <c r="AO235" i="1"/>
  <c r="AP235" i="1"/>
  <c r="AV235" i="1"/>
  <c r="AW235" i="1"/>
  <c r="AX235" i="1"/>
  <c r="BC235" i="1"/>
  <c r="BD235" i="1"/>
  <c r="BF235" i="1"/>
  <c r="BH235" i="1"/>
  <c r="BI235" i="1"/>
  <c r="BJ235" i="1"/>
  <c r="J236" i="1"/>
  <c r="K236" i="1"/>
  <c r="L236" i="1"/>
  <c r="N236" i="1"/>
  <c r="Z236" i="1"/>
  <c r="AB236" i="1"/>
  <c r="AC236" i="1"/>
  <c r="AD236" i="1"/>
  <c r="AE236" i="1"/>
  <c r="AF236" i="1"/>
  <c r="AG236" i="1"/>
  <c r="AH236" i="1"/>
  <c r="AJ236" i="1"/>
  <c r="AK236" i="1"/>
  <c r="AL236" i="1"/>
  <c r="AO236" i="1"/>
  <c r="AP236" i="1"/>
  <c r="AV236" i="1"/>
  <c r="AW236" i="1"/>
  <c r="AX236" i="1"/>
  <c r="BC236" i="1"/>
  <c r="BD236" i="1"/>
  <c r="BF236" i="1"/>
  <c r="BH236" i="1"/>
  <c r="BI236" i="1"/>
  <c r="BJ236" i="1"/>
  <c r="J237" i="1"/>
  <c r="K237" i="1"/>
  <c r="L237" i="1"/>
  <c r="N237" i="1"/>
  <c r="Z237" i="1"/>
  <c r="AB237" i="1"/>
  <c r="AC237" i="1"/>
  <c r="AD237" i="1"/>
  <c r="AE237" i="1"/>
  <c r="AF237" i="1"/>
  <c r="AG237" i="1"/>
  <c r="AH237" i="1"/>
  <c r="AJ237" i="1"/>
  <c r="AK237" i="1"/>
  <c r="AL237" i="1"/>
  <c r="AO237" i="1"/>
  <c r="AP237" i="1"/>
  <c r="AV237" i="1"/>
  <c r="AW237" i="1"/>
  <c r="AX237" i="1"/>
  <c r="BC237" i="1"/>
  <c r="BD237" i="1"/>
  <c r="BF237" i="1"/>
  <c r="BH237" i="1"/>
  <c r="BI237" i="1"/>
  <c r="BJ237" i="1"/>
  <c r="J238" i="1"/>
  <c r="K238" i="1"/>
  <c r="L238" i="1"/>
  <c r="N238" i="1"/>
  <c r="Z238" i="1"/>
  <c r="AB238" i="1"/>
  <c r="AC238" i="1"/>
  <c r="AD238" i="1"/>
  <c r="AE238" i="1"/>
  <c r="AF238" i="1"/>
  <c r="AG238" i="1"/>
  <c r="AH238" i="1"/>
  <c r="AJ238" i="1"/>
  <c r="AK238" i="1"/>
  <c r="AL238" i="1"/>
  <c r="AO238" i="1"/>
  <c r="AP238" i="1"/>
  <c r="AV238" i="1"/>
  <c r="AW238" i="1"/>
  <c r="AX238" i="1"/>
  <c r="BC238" i="1"/>
  <c r="BD238" i="1"/>
  <c r="BF238" i="1"/>
  <c r="BH238" i="1"/>
  <c r="BI238" i="1"/>
  <c r="BJ238" i="1"/>
  <c r="J239" i="1"/>
  <c r="K239" i="1"/>
  <c r="L239" i="1"/>
  <c r="N239" i="1"/>
  <c r="Z239" i="1"/>
  <c r="AB239" i="1"/>
  <c r="AC239" i="1"/>
  <c r="AD239" i="1"/>
  <c r="AE239" i="1"/>
  <c r="AF239" i="1"/>
  <c r="AG239" i="1"/>
  <c r="AH239" i="1"/>
  <c r="AJ239" i="1"/>
  <c r="AK239" i="1"/>
  <c r="AL239" i="1"/>
  <c r="AO239" i="1"/>
  <c r="AP239" i="1"/>
  <c r="AV239" i="1"/>
  <c r="AW239" i="1"/>
  <c r="AX239" i="1"/>
  <c r="BC239" i="1"/>
  <c r="BD239" i="1"/>
  <c r="BF239" i="1"/>
  <c r="BH239" i="1"/>
  <c r="BI239" i="1"/>
  <c r="BJ239" i="1"/>
  <c r="J240" i="1"/>
  <c r="K240" i="1"/>
  <c r="L240" i="1"/>
  <c r="N240" i="1"/>
  <c r="Z240" i="1"/>
  <c r="AB240" i="1"/>
  <c r="AC240" i="1"/>
  <c r="AD240" i="1"/>
  <c r="AE240" i="1"/>
  <c r="AF240" i="1"/>
  <c r="AG240" i="1"/>
  <c r="AH240" i="1"/>
  <c r="AJ240" i="1"/>
  <c r="AK240" i="1"/>
  <c r="AL240" i="1"/>
  <c r="AO240" i="1"/>
  <c r="AP240" i="1"/>
  <c r="AV240" i="1"/>
  <c r="AW240" i="1"/>
  <c r="AX240" i="1"/>
  <c r="BC240" i="1"/>
  <c r="BD240" i="1"/>
  <c r="BF240" i="1"/>
  <c r="BH240" i="1"/>
  <c r="BI240" i="1"/>
  <c r="BJ240" i="1"/>
  <c r="J241" i="1"/>
  <c r="K241" i="1"/>
  <c r="L241" i="1"/>
  <c r="N241" i="1"/>
  <c r="Z241" i="1"/>
  <c r="AB241" i="1"/>
  <c r="AC241" i="1"/>
  <c r="AD241" i="1"/>
  <c r="AE241" i="1"/>
  <c r="AF241" i="1"/>
  <c r="AG241" i="1"/>
  <c r="AH241" i="1"/>
  <c r="AJ241" i="1"/>
  <c r="AK241" i="1"/>
  <c r="AL241" i="1"/>
  <c r="AO241" i="1"/>
  <c r="AP241" i="1"/>
  <c r="AV241" i="1"/>
  <c r="AW241" i="1"/>
  <c r="AX241" i="1"/>
  <c r="BC241" i="1"/>
  <c r="BD241" i="1"/>
  <c r="BF241" i="1"/>
  <c r="BH241" i="1"/>
  <c r="BI241" i="1"/>
  <c r="BJ241" i="1"/>
  <c r="J242" i="1"/>
  <c r="K242" i="1"/>
  <c r="L242" i="1"/>
  <c r="N242" i="1"/>
  <c r="Z242" i="1"/>
  <c r="AB242" i="1"/>
  <c r="AC242" i="1"/>
  <c r="AD242" i="1"/>
  <c r="AE242" i="1"/>
  <c r="AF242" i="1"/>
  <c r="AG242" i="1"/>
  <c r="AH242" i="1"/>
  <c r="AJ242" i="1"/>
  <c r="AK242" i="1"/>
  <c r="AL242" i="1"/>
  <c r="AO242" i="1"/>
  <c r="AP242" i="1"/>
  <c r="AV242" i="1"/>
  <c r="AW242" i="1"/>
  <c r="AX242" i="1"/>
  <c r="BC242" i="1"/>
  <c r="BD242" i="1"/>
  <c r="BF242" i="1"/>
  <c r="BH242" i="1"/>
  <c r="BI242" i="1"/>
  <c r="BJ242" i="1"/>
  <c r="J243" i="1"/>
  <c r="K243" i="1"/>
  <c r="L243" i="1"/>
  <c r="N243" i="1"/>
  <c r="Z243" i="1"/>
  <c r="AB243" i="1"/>
  <c r="AC243" i="1"/>
  <c r="AD243" i="1"/>
  <c r="AE243" i="1"/>
  <c r="AF243" i="1"/>
  <c r="AG243" i="1"/>
  <c r="AH243" i="1"/>
  <c r="AJ243" i="1"/>
  <c r="AK243" i="1"/>
  <c r="AL243" i="1"/>
  <c r="AO243" i="1"/>
  <c r="AP243" i="1"/>
  <c r="AV243" i="1"/>
  <c r="AW243" i="1"/>
  <c r="AX243" i="1"/>
  <c r="BC243" i="1"/>
  <c r="BD243" i="1"/>
  <c r="BF243" i="1"/>
  <c r="BH243" i="1"/>
  <c r="BI243" i="1"/>
  <c r="BJ243" i="1"/>
  <c r="J244" i="1"/>
  <c r="K244" i="1"/>
  <c r="L244" i="1"/>
  <c r="N244" i="1"/>
  <c r="Z244" i="1"/>
  <c r="AB244" i="1"/>
  <c r="AC244" i="1"/>
  <c r="AD244" i="1"/>
  <c r="AE244" i="1"/>
  <c r="AF244" i="1"/>
  <c r="AG244" i="1"/>
  <c r="AH244" i="1"/>
  <c r="AJ244" i="1"/>
  <c r="AK244" i="1"/>
  <c r="AL244" i="1"/>
  <c r="AO244" i="1"/>
  <c r="AP244" i="1"/>
  <c r="AV244" i="1"/>
  <c r="AW244" i="1"/>
  <c r="AX244" i="1"/>
  <c r="BC244" i="1"/>
  <c r="BD244" i="1"/>
  <c r="BF244" i="1"/>
  <c r="BH244" i="1"/>
  <c r="BI244" i="1"/>
  <c r="BJ244" i="1"/>
  <c r="J245" i="1"/>
  <c r="K245" i="1"/>
  <c r="L245" i="1"/>
  <c r="N245" i="1"/>
  <c r="Z245" i="1"/>
  <c r="AB245" i="1"/>
  <c r="AC245" i="1"/>
  <c r="AD245" i="1"/>
  <c r="AE245" i="1"/>
  <c r="AF245" i="1"/>
  <c r="AG245" i="1"/>
  <c r="AH245" i="1"/>
  <c r="AJ245" i="1"/>
  <c r="AK245" i="1"/>
  <c r="AL245" i="1"/>
  <c r="AO245" i="1"/>
  <c r="AP245" i="1"/>
  <c r="AV245" i="1"/>
  <c r="AW245" i="1"/>
  <c r="AX245" i="1"/>
  <c r="BC245" i="1"/>
  <c r="BD245" i="1"/>
  <c r="BF245" i="1"/>
  <c r="BH245" i="1"/>
  <c r="BI245" i="1"/>
  <c r="BJ245" i="1"/>
  <c r="J246" i="1"/>
  <c r="K246" i="1"/>
  <c r="L246" i="1"/>
  <c r="N246" i="1"/>
  <c r="Z246" i="1"/>
  <c r="AB246" i="1"/>
  <c r="AC246" i="1"/>
  <c r="AD246" i="1"/>
  <c r="AE246" i="1"/>
  <c r="AF246" i="1"/>
  <c r="AG246" i="1"/>
  <c r="AH246" i="1"/>
  <c r="AJ246" i="1"/>
  <c r="AK246" i="1"/>
  <c r="AL246" i="1"/>
  <c r="AO246" i="1"/>
  <c r="AP246" i="1"/>
  <c r="AV246" i="1"/>
  <c r="AW246" i="1"/>
  <c r="AX246" i="1"/>
  <c r="BC246" i="1"/>
  <c r="BD246" i="1"/>
  <c r="BF246" i="1"/>
  <c r="BH246" i="1"/>
  <c r="BI246" i="1"/>
  <c r="BJ246" i="1"/>
  <c r="J247" i="1"/>
  <c r="K247" i="1"/>
  <c r="L247" i="1"/>
  <c r="N247" i="1"/>
  <c r="Z247" i="1"/>
  <c r="AB247" i="1"/>
  <c r="AC247" i="1"/>
  <c r="AD247" i="1"/>
  <c r="AE247" i="1"/>
  <c r="AF247" i="1"/>
  <c r="AG247" i="1"/>
  <c r="AH247" i="1"/>
  <c r="AJ247" i="1"/>
  <c r="AK247" i="1"/>
  <c r="AL247" i="1"/>
  <c r="AO247" i="1"/>
  <c r="AP247" i="1"/>
  <c r="AV247" i="1"/>
  <c r="AW247" i="1"/>
  <c r="AX247" i="1"/>
  <c r="BC247" i="1"/>
  <c r="BD247" i="1"/>
  <c r="BF247" i="1"/>
  <c r="BH247" i="1"/>
  <c r="BI247" i="1"/>
  <c r="BJ247" i="1"/>
  <c r="J248" i="1"/>
  <c r="K248" i="1"/>
  <c r="L248" i="1"/>
  <c r="N248" i="1"/>
  <c r="Z248" i="1"/>
  <c r="AB248" i="1"/>
  <c r="AC248" i="1"/>
  <c r="AD248" i="1"/>
  <c r="AE248" i="1"/>
  <c r="AF248" i="1"/>
  <c r="AG248" i="1"/>
  <c r="AH248" i="1"/>
  <c r="AJ248" i="1"/>
  <c r="AK248" i="1"/>
  <c r="AL248" i="1"/>
  <c r="AO248" i="1"/>
  <c r="AP248" i="1"/>
  <c r="AV248" i="1"/>
  <c r="AW248" i="1"/>
  <c r="AX248" i="1"/>
  <c r="BC248" i="1"/>
  <c r="BD248" i="1"/>
  <c r="BF248" i="1"/>
  <c r="BH248" i="1"/>
  <c r="BI248" i="1"/>
  <c r="BJ248" i="1"/>
  <c r="J249" i="1"/>
  <c r="K249" i="1"/>
  <c r="L249" i="1"/>
  <c r="N249" i="1"/>
  <c r="Z249" i="1"/>
  <c r="AB249" i="1"/>
  <c r="AC249" i="1"/>
  <c r="AD249" i="1"/>
  <c r="AE249" i="1"/>
  <c r="AF249" i="1"/>
  <c r="AG249" i="1"/>
  <c r="AH249" i="1"/>
  <c r="AJ249" i="1"/>
  <c r="AK249" i="1"/>
  <c r="AL249" i="1"/>
  <c r="AO249" i="1"/>
  <c r="AP249" i="1"/>
  <c r="AV249" i="1"/>
  <c r="AW249" i="1"/>
  <c r="AX249" i="1"/>
  <c r="BC249" i="1"/>
  <c r="BD249" i="1"/>
  <c r="BF249" i="1"/>
  <c r="BH249" i="1"/>
  <c r="BI249" i="1"/>
  <c r="BJ249" i="1"/>
  <c r="J250" i="1"/>
  <c r="K250" i="1"/>
  <c r="L250" i="1"/>
  <c r="N250" i="1"/>
  <c r="Z250" i="1"/>
  <c r="AB250" i="1"/>
  <c r="AC250" i="1"/>
  <c r="AD250" i="1"/>
  <c r="AE250" i="1"/>
  <c r="AF250" i="1"/>
  <c r="AG250" i="1"/>
  <c r="AH250" i="1"/>
  <c r="AJ250" i="1"/>
  <c r="AK250" i="1"/>
  <c r="AL250" i="1"/>
  <c r="AO250" i="1"/>
  <c r="AP250" i="1"/>
  <c r="AV250" i="1"/>
  <c r="AW250" i="1"/>
  <c r="AX250" i="1"/>
  <c r="BC250" i="1"/>
  <c r="BD250" i="1"/>
  <c r="BF250" i="1"/>
  <c r="BH250" i="1"/>
  <c r="BI250" i="1"/>
  <c r="BJ250" i="1"/>
  <c r="J251" i="1"/>
  <c r="K251" i="1"/>
  <c r="L251" i="1"/>
  <c r="N251" i="1"/>
  <c r="Z251" i="1"/>
  <c r="AB251" i="1"/>
  <c r="AC251" i="1"/>
  <c r="AD251" i="1"/>
  <c r="AE251" i="1"/>
  <c r="AF251" i="1"/>
  <c r="AG251" i="1"/>
  <c r="AH251" i="1"/>
  <c r="AJ251" i="1"/>
  <c r="AK251" i="1"/>
  <c r="AL251" i="1"/>
  <c r="AO251" i="1"/>
  <c r="AP251" i="1"/>
  <c r="AV251" i="1"/>
  <c r="AW251" i="1"/>
  <c r="AX251" i="1"/>
  <c r="BC251" i="1"/>
  <c r="BD251" i="1"/>
  <c r="BF251" i="1"/>
  <c r="BH251" i="1"/>
  <c r="BI251" i="1"/>
  <c r="BJ251" i="1"/>
  <c r="J252" i="1"/>
  <c r="K252" i="1"/>
  <c r="L252" i="1"/>
  <c r="N252" i="1"/>
  <c r="Z252" i="1"/>
  <c r="AB252" i="1"/>
  <c r="AC252" i="1"/>
  <c r="AD252" i="1"/>
  <c r="AE252" i="1"/>
  <c r="AF252" i="1"/>
  <c r="AG252" i="1"/>
  <c r="AH252" i="1"/>
  <c r="AJ252" i="1"/>
  <c r="AK252" i="1"/>
  <c r="AL252" i="1"/>
  <c r="AO252" i="1"/>
  <c r="AP252" i="1"/>
  <c r="AV252" i="1"/>
  <c r="AW252" i="1"/>
  <c r="AX252" i="1"/>
  <c r="BC252" i="1"/>
  <c r="BD252" i="1"/>
  <c r="BF252" i="1"/>
  <c r="BH252" i="1"/>
  <c r="BI252" i="1"/>
  <c r="BJ252" i="1"/>
  <c r="J253" i="1"/>
  <c r="K253" i="1"/>
  <c r="L253" i="1"/>
  <c r="N253" i="1"/>
  <c r="Z253" i="1"/>
  <c r="AB253" i="1"/>
  <c r="AC253" i="1"/>
  <c r="AD253" i="1"/>
  <c r="AE253" i="1"/>
  <c r="AF253" i="1"/>
  <c r="AG253" i="1"/>
  <c r="AH253" i="1"/>
  <c r="AJ253" i="1"/>
  <c r="AK253" i="1"/>
  <c r="AL253" i="1"/>
  <c r="AO253" i="1"/>
  <c r="AP253" i="1"/>
  <c r="AV253" i="1"/>
  <c r="AW253" i="1"/>
  <c r="AX253" i="1"/>
  <c r="BC253" i="1"/>
  <c r="BD253" i="1"/>
  <c r="BF253" i="1"/>
  <c r="BH253" i="1"/>
  <c r="BI253" i="1"/>
  <c r="BJ253" i="1"/>
  <c r="J254" i="1"/>
  <c r="K254" i="1"/>
  <c r="L254" i="1"/>
  <c r="N254" i="1"/>
  <c r="Z254" i="1"/>
  <c r="AB254" i="1"/>
  <c r="AC254" i="1"/>
  <c r="AD254" i="1"/>
  <c r="AE254" i="1"/>
  <c r="AF254" i="1"/>
  <c r="AG254" i="1"/>
  <c r="AH254" i="1"/>
  <c r="AJ254" i="1"/>
  <c r="AK254" i="1"/>
  <c r="AL254" i="1"/>
  <c r="AO254" i="1"/>
  <c r="AP254" i="1"/>
  <c r="AV254" i="1"/>
  <c r="AW254" i="1"/>
  <c r="AX254" i="1"/>
  <c r="BC254" i="1"/>
  <c r="BD254" i="1"/>
  <c r="BF254" i="1"/>
  <c r="BH254" i="1"/>
  <c r="BI254" i="1"/>
  <c r="BJ254" i="1"/>
  <c r="J255" i="1"/>
  <c r="K255" i="1"/>
  <c r="L255" i="1"/>
  <c r="N255" i="1"/>
  <c r="Z255" i="1"/>
  <c r="AB255" i="1"/>
  <c r="AC255" i="1"/>
  <c r="AD255" i="1"/>
  <c r="AE255" i="1"/>
  <c r="AF255" i="1"/>
  <c r="AG255" i="1"/>
  <c r="AH255" i="1"/>
  <c r="AJ255" i="1"/>
  <c r="AK255" i="1"/>
  <c r="AL255" i="1"/>
  <c r="AO255" i="1"/>
  <c r="AP255" i="1"/>
  <c r="AV255" i="1"/>
  <c r="AW255" i="1"/>
  <c r="AX255" i="1"/>
  <c r="BC255" i="1"/>
  <c r="BD255" i="1"/>
  <c r="BF255" i="1"/>
  <c r="BH255" i="1"/>
  <c r="BI255" i="1"/>
  <c r="BJ255" i="1"/>
  <c r="J256" i="1"/>
  <c r="K256" i="1"/>
  <c r="L256" i="1"/>
  <c r="N256" i="1"/>
  <c r="Z256" i="1"/>
  <c r="AB256" i="1"/>
  <c r="AC256" i="1"/>
  <c r="AD256" i="1"/>
  <c r="AE256" i="1"/>
  <c r="AF256" i="1"/>
  <c r="AG256" i="1"/>
  <c r="AH256" i="1"/>
  <c r="AJ256" i="1"/>
  <c r="AK256" i="1"/>
  <c r="AL256" i="1"/>
  <c r="AO256" i="1"/>
  <c r="AP256" i="1"/>
  <c r="AV256" i="1"/>
  <c r="AW256" i="1"/>
  <c r="AX256" i="1"/>
  <c r="BC256" i="1"/>
  <c r="BD256" i="1"/>
  <c r="BF256" i="1"/>
  <c r="BH256" i="1"/>
  <c r="BI256" i="1"/>
  <c r="BJ256" i="1"/>
  <c r="J257" i="1"/>
  <c r="K257" i="1"/>
  <c r="L257" i="1"/>
  <c r="N257" i="1"/>
  <c r="Z257" i="1"/>
  <c r="AB257" i="1"/>
  <c r="AC257" i="1"/>
  <c r="AD257" i="1"/>
  <c r="AE257" i="1"/>
  <c r="AF257" i="1"/>
  <c r="AG257" i="1"/>
  <c r="AH257" i="1"/>
  <c r="AJ257" i="1"/>
  <c r="AK257" i="1"/>
  <c r="AL257" i="1"/>
  <c r="AO257" i="1"/>
  <c r="AP257" i="1"/>
  <c r="AV257" i="1"/>
  <c r="AW257" i="1"/>
  <c r="AX257" i="1"/>
  <c r="BC257" i="1"/>
  <c r="BD257" i="1"/>
  <c r="BF257" i="1"/>
  <c r="BH257" i="1"/>
  <c r="BI257" i="1"/>
  <c r="BJ257" i="1"/>
  <c r="J258" i="1"/>
  <c r="K258" i="1"/>
  <c r="L258" i="1"/>
  <c r="N258" i="1"/>
  <c r="Z258" i="1"/>
  <c r="AB258" i="1"/>
  <c r="AC258" i="1"/>
  <c r="AD258" i="1"/>
  <c r="AE258" i="1"/>
  <c r="AF258" i="1"/>
  <c r="AG258" i="1"/>
  <c r="AH258" i="1"/>
  <c r="AJ258" i="1"/>
  <c r="AK258" i="1"/>
  <c r="AL258" i="1"/>
  <c r="AO258" i="1"/>
  <c r="AP258" i="1"/>
  <c r="AV258" i="1"/>
  <c r="AW258" i="1"/>
  <c r="AX258" i="1"/>
  <c r="BC258" i="1"/>
  <c r="BD258" i="1"/>
  <c r="BF258" i="1"/>
  <c r="BH258" i="1"/>
  <c r="BI258" i="1"/>
  <c r="BJ258" i="1"/>
  <c r="J259" i="1"/>
  <c r="K259" i="1"/>
  <c r="L259" i="1"/>
  <c r="N259" i="1"/>
  <c r="Z259" i="1"/>
  <c r="AB259" i="1"/>
  <c r="AC259" i="1"/>
  <c r="AD259" i="1"/>
  <c r="AE259" i="1"/>
  <c r="AF259" i="1"/>
  <c r="AG259" i="1"/>
  <c r="AH259" i="1"/>
  <c r="AJ259" i="1"/>
  <c r="AK259" i="1"/>
  <c r="AL259" i="1"/>
  <c r="AO259" i="1"/>
  <c r="AP259" i="1"/>
  <c r="AV259" i="1"/>
  <c r="AW259" i="1"/>
  <c r="AX259" i="1"/>
  <c r="BC259" i="1"/>
  <c r="BD259" i="1"/>
  <c r="BF259" i="1"/>
  <c r="BH259" i="1"/>
  <c r="BI259" i="1"/>
  <c r="BJ259" i="1"/>
  <c r="J260" i="1"/>
  <c r="K260" i="1"/>
  <c r="L260" i="1"/>
  <c r="N260" i="1"/>
  <c r="Z260" i="1"/>
  <c r="AB260" i="1"/>
  <c r="AC260" i="1"/>
  <c r="AD260" i="1"/>
  <c r="AE260" i="1"/>
  <c r="AF260" i="1"/>
  <c r="AG260" i="1"/>
  <c r="AH260" i="1"/>
  <c r="AJ260" i="1"/>
  <c r="AK260" i="1"/>
  <c r="AL260" i="1"/>
  <c r="AO260" i="1"/>
  <c r="AP260" i="1"/>
  <c r="AV260" i="1"/>
  <c r="AW260" i="1"/>
  <c r="AX260" i="1"/>
  <c r="BC260" i="1"/>
  <c r="BD260" i="1"/>
  <c r="BF260" i="1"/>
  <c r="BH260" i="1"/>
  <c r="BI260" i="1"/>
  <c r="BJ260" i="1"/>
  <c r="J261" i="1"/>
  <c r="K261" i="1"/>
  <c r="L261" i="1"/>
  <c r="N261" i="1"/>
  <c r="Z261" i="1"/>
  <c r="AB261" i="1"/>
  <c r="AC261" i="1"/>
  <c r="AD261" i="1"/>
  <c r="AE261" i="1"/>
  <c r="AF261" i="1"/>
  <c r="AG261" i="1"/>
  <c r="AH261" i="1"/>
  <c r="AJ261" i="1"/>
  <c r="AK261" i="1"/>
  <c r="AL261" i="1"/>
  <c r="AO261" i="1"/>
  <c r="AP261" i="1"/>
  <c r="AV261" i="1"/>
  <c r="AW261" i="1"/>
  <c r="AX261" i="1"/>
  <c r="BC261" i="1"/>
  <c r="BD261" i="1"/>
  <c r="BF261" i="1"/>
  <c r="BH261" i="1"/>
  <c r="BI261" i="1"/>
  <c r="BJ261" i="1"/>
  <c r="J262" i="1"/>
  <c r="K262" i="1"/>
  <c r="L262" i="1"/>
  <c r="N262" i="1"/>
  <c r="Z262" i="1"/>
  <c r="AB262" i="1"/>
  <c r="AC262" i="1"/>
  <c r="AD262" i="1"/>
  <c r="AE262" i="1"/>
  <c r="AF262" i="1"/>
  <c r="AG262" i="1"/>
  <c r="AH262" i="1"/>
  <c r="AJ262" i="1"/>
  <c r="AK262" i="1"/>
  <c r="AL262" i="1"/>
  <c r="AO262" i="1"/>
  <c r="AP262" i="1"/>
  <c r="AV262" i="1"/>
  <c r="AW262" i="1"/>
  <c r="AX262" i="1"/>
  <c r="BC262" i="1"/>
  <c r="BD262" i="1"/>
  <c r="BF262" i="1"/>
  <c r="BH262" i="1"/>
  <c r="BI262" i="1"/>
  <c r="BJ262" i="1"/>
  <c r="J263" i="1"/>
  <c r="K263" i="1"/>
  <c r="L263" i="1"/>
  <c r="N263" i="1"/>
  <c r="AS263" i="1"/>
  <c r="AT263" i="1"/>
  <c r="AU263" i="1"/>
  <c r="J264" i="1"/>
  <c r="K264" i="1"/>
  <c r="L264" i="1"/>
  <c r="N264" i="1"/>
  <c r="Z264" i="1"/>
  <c r="AB264" i="1"/>
  <c r="AC264" i="1"/>
  <c r="AD264" i="1"/>
  <c r="AE264" i="1"/>
  <c r="AF264" i="1"/>
  <c r="AG264" i="1"/>
  <c r="AH264" i="1"/>
  <c r="AJ264" i="1"/>
  <c r="AK264" i="1"/>
  <c r="AL264" i="1"/>
  <c r="AO264" i="1"/>
  <c r="AP264" i="1"/>
  <c r="AV264" i="1"/>
  <c r="AW264" i="1"/>
  <c r="AX264" i="1"/>
  <c r="BC264" i="1"/>
  <c r="BD264" i="1"/>
  <c r="BF264" i="1"/>
  <c r="BH264" i="1"/>
  <c r="BI264" i="1"/>
  <c r="BJ264" i="1"/>
  <c r="J266" i="1"/>
  <c r="K266" i="1"/>
  <c r="L266" i="1"/>
  <c r="N266" i="1"/>
  <c r="AS266" i="1"/>
  <c r="AT266" i="1"/>
  <c r="AU266" i="1"/>
  <c r="J267" i="1"/>
  <c r="K267" i="1"/>
  <c r="L267" i="1"/>
  <c r="N267" i="1"/>
  <c r="Z267" i="1"/>
  <c r="AB267" i="1"/>
  <c r="AC267" i="1"/>
  <c r="AD267" i="1"/>
  <c r="AE267" i="1"/>
  <c r="AF267" i="1"/>
  <c r="AG267" i="1"/>
  <c r="AH267" i="1"/>
  <c r="AJ267" i="1"/>
  <c r="AK267" i="1"/>
  <c r="AL267" i="1"/>
  <c r="AO267" i="1"/>
  <c r="AP267" i="1"/>
  <c r="AV267" i="1"/>
  <c r="AW267" i="1"/>
  <c r="AX267" i="1"/>
  <c r="BC267" i="1"/>
  <c r="BD267" i="1"/>
  <c r="BF267" i="1"/>
  <c r="BH267" i="1"/>
  <c r="BI267" i="1"/>
  <c r="BJ267" i="1"/>
  <c r="J268" i="1"/>
  <c r="K268" i="1"/>
  <c r="L268" i="1"/>
  <c r="N268" i="1"/>
  <c r="Z268" i="1"/>
  <c r="AB268" i="1"/>
  <c r="AC268" i="1"/>
  <c r="AD268" i="1"/>
  <c r="AE268" i="1"/>
  <c r="AF268" i="1"/>
  <c r="AG268" i="1"/>
  <c r="AH268" i="1"/>
  <c r="AJ268" i="1"/>
  <c r="AK268" i="1"/>
  <c r="AL268" i="1"/>
  <c r="AO268" i="1"/>
  <c r="AP268" i="1"/>
  <c r="AV268" i="1"/>
  <c r="AW268" i="1"/>
  <c r="AX268" i="1"/>
  <c r="BC268" i="1"/>
  <c r="BD268" i="1"/>
  <c r="BF268" i="1"/>
  <c r="BH268" i="1"/>
  <c r="BI268" i="1"/>
  <c r="BJ268" i="1"/>
  <c r="J269" i="1"/>
  <c r="K269" i="1"/>
  <c r="L269" i="1"/>
  <c r="N269" i="1"/>
  <c r="AS269" i="1"/>
  <c r="AT269" i="1"/>
  <c r="AU269" i="1"/>
  <c r="J270" i="1"/>
  <c r="K270" i="1"/>
  <c r="L270" i="1"/>
  <c r="N270" i="1"/>
  <c r="Z270" i="1"/>
  <c r="AB270" i="1"/>
  <c r="AC270" i="1"/>
  <c r="AD270" i="1"/>
  <c r="AE270" i="1"/>
  <c r="AF270" i="1"/>
  <c r="AG270" i="1"/>
  <c r="AH270" i="1"/>
  <c r="AJ270" i="1"/>
  <c r="AK270" i="1"/>
  <c r="AL270" i="1"/>
  <c r="AO270" i="1"/>
  <c r="AP270" i="1"/>
  <c r="AV270" i="1"/>
  <c r="AW270" i="1"/>
  <c r="AX270" i="1"/>
  <c r="BC270" i="1"/>
  <c r="BD270" i="1"/>
  <c r="BF270" i="1"/>
  <c r="BH270" i="1"/>
  <c r="BI270" i="1"/>
  <c r="BJ270" i="1"/>
  <c r="J271" i="1"/>
  <c r="K271" i="1"/>
  <c r="L271" i="1"/>
  <c r="N271" i="1"/>
  <c r="AS271" i="1"/>
  <c r="AT271" i="1"/>
  <c r="AU271" i="1"/>
  <c r="J272" i="1"/>
  <c r="K272" i="1"/>
  <c r="L272" i="1"/>
  <c r="N272" i="1"/>
  <c r="Z272" i="1"/>
  <c r="AB272" i="1"/>
  <c r="AC272" i="1"/>
  <c r="AD272" i="1"/>
  <c r="AE272" i="1"/>
  <c r="AF272" i="1"/>
  <c r="AG272" i="1"/>
  <c r="AH272" i="1"/>
  <c r="AJ272" i="1"/>
  <c r="AK272" i="1"/>
  <c r="AL272" i="1"/>
  <c r="AO272" i="1"/>
  <c r="AP272" i="1"/>
  <c r="AV272" i="1"/>
  <c r="AW272" i="1"/>
  <c r="AX272" i="1"/>
  <c r="BC272" i="1"/>
  <c r="BD272" i="1"/>
  <c r="BF272" i="1"/>
  <c r="BH272" i="1"/>
  <c r="BI272" i="1"/>
  <c r="BJ272" i="1"/>
  <c r="J273" i="1"/>
  <c r="K273" i="1"/>
  <c r="L273" i="1"/>
  <c r="N273" i="1"/>
  <c r="Z273" i="1"/>
  <c r="AB273" i="1"/>
  <c r="AC273" i="1"/>
  <c r="AD273" i="1"/>
  <c r="AE273" i="1"/>
  <c r="AF273" i="1"/>
  <c r="AG273" i="1"/>
  <c r="AH273" i="1"/>
  <c r="AJ273" i="1"/>
  <c r="AK273" i="1"/>
  <c r="AL273" i="1"/>
  <c r="AO273" i="1"/>
  <c r="AP273" i="1"/>
  <c r="AV273" i="1"/>
  <c r="AW273" i="1"/>
  <c r="AX273" i="1"/>
  <c r="BC273" i="1"/>
  <c r="BD273" i="1"/>
  <c r="BF273" i="1"/>
  <c r="BH273" i="1"/>
  <c r="BI273" i="1"/>
  <c r="BJ273" i="1"/>
  <c r="J274" i="1"/>
  <c r="K274" i="1"/>
  <c r="L274" i="1"/>
  <c r="N274" i="1"/>
  <c r="Z274" i="1"/>
  <c r="AB274" i="1"/>
  <c r="AC274" i="1"/>
  <c r="AD274" i="1"/>
  <c r="AE274" i="1"/>
  <c r="AF274" i="1"/>
  <c r="AG274" i="1"/>
  <c r="AH274" i="1"/>
  <c r="AJ274" i="1"/>
  <c r="AK274" i="1"/>
  <c r="AL274" i="1"/>
  <c r="AO274" i="1"/>
  <c r="AP274" i="1"/>
  <c r="AV274" i="1"/>
  <c r="AW274" i="1"/>
  <c r="AX274" i="1"/>
  <c r="BC274" i="1"/>
  <c r="BD274" i="1"/>
  <c r="BF274" i="1"/>
  <c r="BH274" i="1"/>
  <c r="BI274" i="1"/>
  <c r="BJ274" i="1"/>
  <c r="J276" i="1"/>
  <c r="K276" i="1"/>
  <c r="L276" i="1"/>
  <c r="N276" i="1"/>
  <c r="Z276" i="1"/>
  <c r="AB276" i="1"/>
  <c r="AC276" i="1"/>
  <c r="AD276" i="1"/>
  <c r="AE276" i="1"/>
  <c r="AF276" i="1"/>
  <c r="AG276" i="1"/>
  <c r="AH276" i="1"/>
  <c r="AJ276" i="1"/>
  <c r="AK276" i="1"/>
  <c r="AL276" i="1"/>
  <c r="AO276" i="1"/>
  <c r="AP276" i="1"/>
  <c r="AV276" i="1"/>
  <c r="AW276" i="1"/>
  <c r="AX276" i="1"/>
  <c r="BC276" i="1"/>
  <c r="BD276" i="1"/>
  <c r="BF276" i="1"/>
  <c r="BH276" i="1"/>
  <c r="BI276" i="1"/>
  <c r="BJ276" i="1"/>
  <c r="J278" i="1"/>
  <c r="K278" i="1"/>
  <c r="L278" i="1"/>
  <c r="N278" i="1"/>
  <c r="Z278" i="1"/>
  <c r="AB278" i="1"/>
  <c r="AC278" i="1"/>
  <c r="AD278" i="1"/>
  <c r="AE278" i="1"/>
  <c r="AF278" i="1"/>
  <c r="AG278" i="1"/>
  <c r="AH278" i="1"/>
  <c r="AJ278" i="1"/>
  <c r="AK278" i="1"/>
  <c r="AL278" i="1"/>
  <c r="AO278" i="1"/>
  <c r="AP278" i="1"/>
  <c r="AV278" i="1"/>
  <c r="AW278" i="1"/>
  <c r="AX278" i="1"/>
  <c r="BC278" i="1"/>
  <c r="BD278" i="1"/>
  <c r="BF278" i="1"/>
  <c r="BH278" i="1"/>
  <c r="BI278" i="1"/>
  <c r="BJ278" i="1"/>
  <c r="J279" i="1"/>
  <c r="K279" i="1"/>
  <c r="L279" i="1"/>
  <c r="N279" i="1"/>
  <c r="Z279" i="1"/>
  <c r="AB279" i="1"/>
  <c r="AC279" i="1"/>
  <c r="AD279" i="1"/>
  <c r="AE279" i="1"/>
  <c r="AF279" i="1"/>
  <c r="AG279" i="1"/>
  <c r="AH279" i="1"/>
  <c r="AJ279" i="1"/>
  <c r="AK279" i="1"/>
  <c r="AL279" i="1"/>
  <c r="AO279" i="1"/>
  <c r="AP279" i="1"/>
  <c r="AV279" i="1"/>
  <c r="AW279" i="1"/>
  <c r="AX279" i="1"/>
  <c r="BC279" i="1"/>
  <c r="BD279" i="1"/>
  <c r="BF279" i="1"/>
  <c r="BH279" i="1"/>
  <c r="BI279" i="1"/>
  <c r="BJ279" i="1"/>
  <c r="J283" i="1"/>
  <c r="K283" i="1"/>
  <c r="L283" i="1"/>
  <c r="N283" i="1"/>
  <c r="Z283" i="1"/>
  <c r="AB283" i="1"/>
  <c r="AC283" i="1"/>
  <c r="AD283" i="1"/>
  <c r="AE283" i="1"/>
  <c r="AF283" i="1"/>
  <c r="AG283" i="1"/>
  <c r="AH283" i="1"/>
  <c r="AJ283" i="1"/>
  <c r="AK283" i="1"/>
  <c r="AL283" i="1"/>
  <c r="AO283" i="1"/>
  <c r="AP283" i="1"/>
  <c r="AV283" i="1"/>
  <c r="AW283" i="1"/>
  <c r="AX283" i="1"/>
  <c r="BC283" i="1"/>
  <c r="BD283" i="1"/>
  <c r="BF283" i="1"/>
  <c r="BH283" i="1"/>
  <c r="BI283" i="1"/>
  <c r="BJ283" i="1"/>
  <c r="J285" i="1"/>
  <c r="K285" i="1"/>
  <c r="L285" i="1"/>
  <c r="N285" i="1"/>
  <c r="Z285" i="1"/>
  <c r="AB285" i="1"/>
  <c r="AC285" i="1"/>
  <c r="AD285" i="1"/>
  <c r="AE285" i="1"/>
  <c r="AF285" i="1"/>
  <c r="AG285" i="1"/>
  <c r="AH285" i="1"/>
  <c r="AJ285" i="1"/>
  <c r="AK285" i="1"/>
  <c r="AL285" i="1"/>
  <c r="AO285" i="1"/>
  <c r="AP285" i="1"/>
  <c r="AV285" i="1"/>
  <c r="AW285" i="1"/>
  <c r="AX285" i="1"/>
  <c r="BC285" i="1"/>
  <c r="BD285" i="1"/>
  <c r="BF285" i="1"/>
  <c r="BH285" i="1"/>
  <c r="BI285" i="1"/>
  <c r="BJ285" i="1"/>
  <c r="J287" i="1"/>
  <c r="K287" i="1"/>
  <c r="L287" i="1"/>
  <c r="N287" i="1"/>
  <c r="Z287" i="1"/>
  <c r="AB287" i="1"/>
  <c r="AC287" i="1"/>
  <c r="AD287" i="1"/>
  <c r="AE287" i="1"/>
  <c r="AF287" i="1"/>
  <c r="AG287" i="1"/>
  <c r="AH287" i="1"/>
  <c r="AJ287" i="1"/>
  <c r="AK287" i="1"/>
  <c r="AL287" i="1"/>
  <c r="AO287" i="1"/>
  <c r="AP287" i="1"/>
  <c r="AV287" i="1"/>
  <c r="AW287" i="1"/>
  <c r="AX287" i="1"/>
  <c r="BC287" i="1"/>
  <c r="BD287" i="1"/>
  <c r="BF287" i="1"/>
  <c r="BH287" i="1"/>
  <c r="BI287" i="1"/>
  <c r="BJ287" i="1"/>
  <c r="J292" i="1"/>
  <c r="K292" i="1"/>
  <c r="L292" i="1"/>
  <c r="N292" i="1"/>
  <c r="Z292" i="1"/>
  <c r="AB292" i="1"/>
  <c r="AC292" i="1"/>
  <c r="AD292" i="1"/>
  <c r="AE292" i="1"/>
  <c r="AF292" i="1"/>
  <c r="AG292" i="1"/>
  <c r="AH292" i="1"/>
  <c r="AJ292" i="1"/>
  <c r="AK292" i="1"/>
  <c r="AL292" i="1"/>
  <c r="AO292" i="1"/>
  <c r="AP292" i="1"/>
  <c r="AV292" i="1"/>
  <c r="AW292" i="1"/>
  <c r="AX292" i="1"/>
  <c r="BC292" i="1"/>
  <c r="BD292" i="1"/>
  <c r="BF292" i="1"/>
  <c r="BH292" i="1"/>
  <c r="BI292" i="1"/>
  <c r="BJ292" i="1"/>
  <c r="J293" i="1"/>
  <c r="K293" i="1"/>
  <c r="L293" i="1"/>
  <c r="N293" i="1"/>
  <c r="Z293" i="1"/>
  <c r="AB293" i="1"/>
  <c r="AC293" i="1"/>
  <c r="AD293" i="1"/>
  <c r="AE293" i="1"/>
  <c r="AF293" i="1"/>
  <c r="AG293" i="1"/>
  <c r="AH293" i="1"/>
  <c r="AJ293" i="1"/>
  <c r="AK293" i="1"/>
  <c r="AL293" i="1"/>
  <c r="AO293" i="1"/>
  <c r="AP293" i="1"/>
  <c r="AV293" i="1"/>
  <c r="AW293" i="1"/>
  <c r="AX293" i="1"/>
  <c r="BC293" i="1"/>
  <c r="BD293" i="1"/>
  <c r="BF293" i="1"/>
  <c r="BH293" i="1"/>
  <c r="BI293" i="1"/>
  <c r="BJ293" i="1"/>
  <c r="J294" i="1"/>
  <c r="K294" i="1"/>
  <c r="L294" i="1"/>
  <c r="N294" i="1"/>
  <c r="Z294" i="1"/>
  <c r="AB294" i="1"/>
  <c r="AC294" i="1"/>
  <c r="AD294" i="1"/>
  <c r="AE294" i="1"/>
  <c r="AF294" i="1"/>
  <c r="AG294" i="1"/>
  <c r="AH294" i="1"/>
  <c r="AJ294" i="1"/>
  <c r="AK294" i="1"/>
  <c r="AL294" i="1"/>
  <c r="AO294" i="1"/>
  <c r="AP294" i="1"/>
  <c r="AV294" i="1"/>
  <c r="AW294" i="1"/>
  <c r="AX294" i="1"/>
  <c r="BC294" i="1"/>
  <c r="BD294" i="1"/>
  <c r="BF294" i="1"/>
  <c r="BH294" i="1"/>
  <c r="BI294" i="1"/>
  <c r="BJ294" i="1"/>
  <c r="J295" i="1"/>
  <c r="K295" i="1"/>
  <c r="L295" i="1"/>
  <c r="N295" i="1"/>
  <c r="Z295" i="1"/>
  <c r="AB295" i="1"/>
  <c r="AC295" i="1"/>
  <c r="AD295" i="1"/>
  <c r="AE295" i="1"/>
  <c r="AF295" i="1"/>
  <c r="AG295" i="1"/>
  <c r="AH295" i="1"/>
  <c r="AJ295" i="1"/>
  <c r="AK295" i="1"/>
  <c r="AL295" i="1"/>
  <c r="AO295" i="1"/>
  <c r="AP295" i="1"/>
  <c r="AV295" i="1"/>
  <c r="AW295" i="1"/>
  <c r="AX295" i="1"/>
  <c r="BC295" i="1"/>
  <c r="BD295" i="1"/>
  <c r="BF295" i="1"/>
  <c r="BH295" i="1"/>
  <c r="BI295" i="1"/>
  <c r="BJ295" i="1"/>
  <c r="J296" i="1"/>
  <c r="K296" i="1"/>
  <c r="L296" i="1"/>
  <c r="N296" i="1"/>
  <c r="AS296" i="1"/>
  <c r="AT296" i="1"/>
  <c r="AU296" i="1"/>
  <c r="J297" i="1"/>
  <c r="K297" i="1"/>
  <c r="L297" i="1"/>
  <c r="N297" i="1"/>
  <c r="Z297" i="1"/>
  <c r="AB297" i="1"/>
  <c r="AC297" i="1"/>
  <c r="AD297" i="1"/>
  <c r="AE297" i="1"/>
  <c r="AF297" i="1"/>
  <c r="AG297" i="1"/>
  <c r="AH297" i="1"/>
  <c r="AJ297" i="1"/>
  <c r="AK297" i="1"/>
  <c r="AL297" i="1"/>
  <c r="AO297" i="1"/>
  <c r="AP297" i="1"/>
  <c r="AV297" i="1"/>
  <c r="AW297" i="1"/>
  <c r="AX297" i="1"/>
  <c r="BC297" i="1"/>
  <c r="BD297" i="1"/>
  <c r="BF297" i="1"/>
  <c r="BH297" i="1"/>
  <c r="BI297" i="1"/>
  <c r="BJ297" i="1"/>
  <c r="J299" i="1"/>
  <c r="K299" i="1"/>
  <c r="L299" i="1"/>
  <c r="N299" i="1"/>
  <c r="Z299" i="1"/>
  <c r="AB299" i="1"/>
  <c r="AC299" i="1"/>
  <c r="AD299" i="1"/>
  <c r="AE299" i="1"/>
  <c r="AF299" i="1"/>
  <c r="AG299" i="1"/>
  <c r="AH299" i="1"/>
  <c r="AJ299" i="1"/>
  <c r="AK299" i="1"/>
  <c r="AL299" i="1"/>
  <c r="AO299" i="1"/>
  <c r="AP299" i="1"/>
  <c r="AV299" i="1"/>
  <c r="AW299" i="1"/>
  <c r="AX299" i="1"/>
  <c r="BC299" i="1"/>
  <c r="BD299" i="1"/>
  <c r="BF299" i="1"/>
  <c r="BH299" i="1"/>
  <c r="BI299" i="1"/>
  <c r="BJ299" i="1"/>
  <c r="J301" i="1"/>
  <c r="K301" i="1"/>
  <c r="L301" i="1"/>
  <c r="N301" i="1"/>
  <c r="Z301" i="1"/>
  <c r="AB301" i="1"/>
  <c r="AC301" i="1"/>
  <c r="AD301" i="1"/>
  <c r="AE301" i="1"/>
  <c r="AF301" i="1"/>
  <c r="AG301" i="1"/>
  <c r="AH301" i="1"/>
  <c r="AJ301" i="1"/>
  <c r="AK301" i="1"/>
  <c r="AL301" i="1"/>
  <c r="AO301" i="1"/>
  <c r="AP301" i="1"/>
  <c r="AV301" i="1"/>
  <c r="AW301" i="1"/>
  <c r="AX301" i="1"/>
  <c r="BC301" i="1"/>
  <c r="BD301" i="1"/>
  <c r="BF301" i="1"/>
  <c r="BH301" i="1"/>
  <c r="BI301" i="1"/>
  <c r="BJ301" i="1"/>
  <c r="J303" i="1"/>
  <c r="K303" i="1"/>
  <c r="L303" i="1"/>
  <c r="N303" i="1"/>
  <c r="Z303" i="1"/>
  <c r="AB303" i="1"/>
  <c r="AC303" i="1"/>
  <c r="AD303" i="1"/>
  <c r="AE303" i="1"/>
  <c r="AF303" i="1"/>
  <c r="AG303" i="1"/>
  <c r="AH303" i="1"/>
  <c r="AJ303" i="1"/>
  <c r="AK303" i="1"/>
  <c r="AL303" i="1"/>
  <c r="AO303" i="1"/>
  <c r="AP303" i="1"/>
  <c r="AV303" i="1"/>
  <c r="AW303" i="1"/>
  <c r="AX303" i="1"/>
  <c r="BC303" i="1"/>
  <c r="BD303" i="1"/>
  <c r="BF303" i="1"/>
  <c r="BH303" i="1"/>
  <c r="BI303" i="1"/>
  <c r="BJ303" i="1"/>
  <c r="J305" i="1"/>
  <c r="K305" i="1"/>
  <c r="L305" i="1"/>
  <c r="N305" i="1"/>
  <c r="Z305" i="1"/>
  <c r="AB305" i="1"/>
  <c r="AC305" i="1"/>
  <c r="AD305" i="1"/>
  <c r="AE305" i="1"/>
  <c r="AF305" i="1"/>
  <c r="AG305" i="1"/>
  <c r="AH305" i="1"/>
  <c r="AJ305" i="1"/>
  <c r="AK305" i="1"/>
  <c r="AL305" i="1"/>
  <c r="AO305" i="1"/>
  <c r="AP305" i="1"/>
  <c r="AV305" i="1"/>
  <c r="AW305" i="1"/>
  <c r="AX305" i="1"/>
  <c r="BC305" i="1"/>
  <c r="BD305" i="1"/>
  <c r="BF305" i="1"/>
  <c r="BH305" i="1"/>
  <c r="BI305" i="1"/>
  <c r="BJ305" i="1"/>
  <c r="J307" i="1"/>
  <c r="K307" i="1"/>
  <c r="L307" i="1"/>
  <c r="N307" i="1"/>
  <c r="Z307" i="1"/>
  <c r="AB307" i="1"/>
  <c r="AC307" i="1"/>
  <c r="AD307" i="1"/>
  <c r="AE307" i="1"/>
  <c r="AF307" i="1"/>
  <c r="AG307" i="1"/>
  <c r="AH307" i="1"/>
  <c r="AJ307" i="1"/>
  <c r="AK307" i="1"/>
  <c r="AL307" i="1"/>
  <c r="AO307" i="1"/>
  <c r="AP307" i="1"/>
  <c r="AV307" i="1"/>
  <c r="AW307" i="1"/>
  <c r="AX307" i="1"/>
  <c r="BC307" i="1"/>
  <c r="BD307" i="1"/>
  <c r="BF307" i="1"/>
  <c r="BH307" i="1"/>
  <c r="BI307" i="1"/>
  <c r="BJ307" i="1"/>
  <c r="J309" i="1"/>
  <c r="K309" i="1"/>
  <c r="L309" i="1"/>
  <c r="N309" i="1"/>
  <c r="AS309" i="1"/>
  <c r="AT309" i="1"/>
  <c r="AU309" i="1"/>
  <c r="J310" i="1"/>
  <c r="K310" i="1"/>
  <c r="L310" i="1"/>
  <c r="N310" i="1"/>
  <c r="Z310" i="1"/>
  <c r="AB310" i="1"/>
  <c r="AC310" i="1"/>
  <c r="AD310" i="1"/>
  <c r="AE310" i="1"/>
  <c r="AF310" i="1"/>
  <c r="AG310" i="1"/>
  <c r="AH310" i="1"/>
  <c r="AJ310" i="1"/>
  <c r="AK310" i="1"/>
  <c r="AL310" i="1"/>
  <c r="AO310" i="1"/>
  <c r="AP310" i="1"/>
  <c r="AV310" i="1"/>
  <c r="AW310" i="1"/>
  <c r="AX310" i="1"/>
  <c r="BC310" i="1"/>
  <c r="BD310" i="1"/>
  <c r="BF310" i="1"/>
  <c r="BH310" i="1"/>
  <c r="BI310" i="1"/>
  <c r="BJ310" i="1"/>
  <c r="J311" i="1"/>
  <c r="K311" i="1"/>
  <c r="L311" i="1"/>
  <c r="N311" i="1"/>
  <c r="Z311" i="1"/>
  <c r="AB311" i="1"/>
  <c r="AC311" i="1"/>
  <c r="AD311" i="1"/>
  <c r="AE311" i="1"/>
  <c r="AF311" i="1"/>
  <c r="AG311" i="1"/>
  <c r="AH311" i="1"/>
  <c r="AJ311" i="1"/>
  <c r="AK311" i="1"/>
  <c r="AL311" i="1"/>
  <c r="AO311" i="1"/>
  <c r="AP311" i="1"/>
  <c r="AV311" i="1"/>
  <c r="AW311" i="1"/>
  <c r="AX311" i="1"/>
  <c r="BC311" i="1"/>
  <c r="BD311" i="1"/>
  <c r="BF311" i="1"/>
  <c r="BH311" i="1"/>
  <c r="BI311" i="1"/>
  <c r="BJ311" i="1"/>
  <c r="J312" i="1"/>
  <c r="K312" i="1"/>
  <c r="L312" i="1"/>
  <c r="N312" i="1"/>
  <c r="Z312" i="1"/>
  <c r="AB312" i="1"/>
  <c r="AC312" i="1"/>
  <c r="AD312" i="1"/>
  <c r="AE312" i="1"/>
  <c r="AF312" i="1"/>
  <c r="AG312" i="1"/>
  <c r="AH312" i="1"/>
  <c r="AJ312" i="1"/>
  <c r="AK312" i="1"/>
  <c r="AL312" i="1"/>
  <c r="AO312" i="1"/>
  <c r="AP312" i="1"/>
  <c r="AV312" i="1"/>
  <c r="AW312" i="1"/>
  <c r="AX312" i="1"/>
  <c r="BC312" i="1"/>
  <c r="BD312" i="1"/>
  <c r="BF312" i="1"/>
  <c r="BH312" i="1"/>
  <c r="BI312" i="1"/>
  <c r="BJ312" i="1"/>
  <c r="J313" i="1"/>
  <c r="K313" i="1"/>
  <c r="L313" i="1"/>
  <c r="N313" i="1"/>
  <c r="Z313" i="1"/>
  <c r="AB313" i="1"/>
  <c r="AC313" i="1"/>
  <c r="AD313" i="1"/>
  <c r="AE313" i="1"/>
  <c r="AF313" i="1"/>
  <c r="AG313" i="1"/>
  <c r="AH313" i="1"/>
  <c r="AJ313" i="1"/>
  <c r="AK313" i="1"/>
  <c r="AL313" i="1"/>
  <c r="AO313" i="1"/>
  <c r="AP313" i="1"/>
  <c r="AV313" i="1"/>
  <c r="AW313" i="1"/>
  <c r="AX313" i="1"/>
  <c r="BC313" i="1"/>
  <c r="BD313" i="1"/>
  <c r="BF313" i="1"/>
  <c r="BH313" i="1"/>
  <c r="BI313" i="1"/>
  <c r="BJ313" i="1"/>
  <c r="J314" i="1"/>
  <c r="K314" i="1"/>
  <c r="L314" i="1"/>
  <c r="N314" i="1"/>
  <c r="AS314" i="1"/>
  <c r="AT314" i="1"/>
  <c r="AU314" i="1"/>
  <c r="J315" i="1"/>
  <c r="K315" i="1"/>
  <c r="L315" i="1"/>
  <c r="N315" i="1"/>
  <c r="Z315" i="1"/>
  <c r="AB315" i="1"/>
  <c r="AC315" i="1"/>
  <c r="AD315" i="1"/>
  <c r="AE315" i="1"/>
  <c r="AF315" i="1"/>
  <c r="AG315" i="1"/>
  <c r="AH315" i="1"/>
  <c r="AJ315" i="1"/>
  <c r="AK315" i="1"/>
  <c r="AL315" i="1"/>
  <c r="AO315" i="1"/>
  <c r="AP315" i="1"/>
  <c r="AV315" i="1"/>
  <c r="AW315" i="1"/>
  <c r="AX315" i="1"/>
  <c r="BC315" i="1"/>
  <c r="BD315" i="1"/>
  <c r="BF315" i="1"/>
  <c r="BH315" i="1"/>
  <c r="BI315" i="1"/>
  <c r="BJ315" i="1"/>
  <c r="J316" i="1"/>
  <c r="K316" i="1"/>
  <c r="L316" i="1"/>
  <c r="N316" i="1"/>
  <c r="Z316" i="1"/>
  <c r="AB316" i="1"/>
  <c r="AC316" i="1"/>
  <c r="AD316" i="1"/>
  <c r="AE316" i="1"/>
  <c r="AF316" i="1"/>
  <c r="AG316" i="1"/>
  <c r="AH316" i="1"/>
  <c r="AJ316" i="1"/>
  <c r="AK316" i="1"/>
  <c r="AL316" i="1"/>
  <c r="AO316" i="1"/>
  <c r="AP316" i="1"/>
  <c r="AV316" i="1"/>
  <c r="AW316" i="1"/>
  <c r="AX316" i="1"/>
  <c r="BC316" i="1"/>
  <c r="BD316" i="1"/>
  <c r="BF316" i="1"/>
  <c r="BH316" i="1"/>
  <c r="BI316" i="1"/>
  <c r="BJ316" i="1"/>
  <c r="J317" i="1"/>
  <c r="K317" i="1"/>
  <c r="L317" i="1"/>
  <c r="N317" i="1"/>
  <c r="Z317" i="1"/>
  <c r="AB317" i="1"/>
  <c r="AC317" i="1"/>
  <c r="AD317" i="1"/>
  <c r="AE317" i="1"/>
  <c r="AF317" i="1"/>
  <c r="AG317" i="1"/>
  <c r="AH317" i="1"/>
  <c r="AJ317" i="1"/>
  <c r="AK317" i="1"/>
  <c r="AL317" i="1"/>
  <c r="AO317" i="1"/>
  <c r="AP317" i="1"/>
  <c r="AV317" i="1"/>
  <c r="AW317" i="1"/>
  <c r="AX317" i="1"/>
  <c r="BC317" i="1"/>
  <c r="BD317" i="1"/>
  <c r="BF317" i="1"/>
  <c r="BH317" i="1"/>
  <c r="BI317" i="1"/>
  <c r="BJ317" i="1"/>
  <c r="J318" i="1"/>
  <c r="K318" i="1"/>
  <c r="L318" i="1"/>
  <c r="N318" i="1"/>
  <c r="AS318" i="1"/>
  <c r="AT318" i="1"/>
  <c r="AU318" i="1"/>
  <c r="J319" i="1"/>
  <c r="K319" i="1"/>
  <c r="L319" i="1"/>
  <c r="N319" i="1"/>
  <c r="Z319" i="1"/>
  <c r="AB319" i="1"/>
  <c r="AC319" i="1"/>
  <c r="AD319" i="1"/>
  <c r="AE319" i="1"/>
  <c r="AF319" i="1"/>
  <c r="AG319" i="1"/>
  <c r="AH319" i="1"/>
  <c r="AJ319" i="1"/>
  <c r="AK319" i="1"/>
  <c r="AL319" i="1"/>
  <c r="AO319" i="1"/>
  <c r="AP319" i="1"/>
  <c r="AV319" i="1"/>
  <c r="AW319" i="1"/>
  <c r="AX319" i="1"/>
  <c r="BC319" i="1"/>
  <c r="BD319" i="1"/>
  <c r="BF319" i="1"/>
  <c r="BH319" i="1"/>
  <c r="BI319" i="1"/>
  <c r="BJ319" i="1"/>
  <c r="J320" i="1"/>
  <c r="K320" i="1"/>
  <c r="L320" i="1"/>
  <c r="N320" i="1"/>
  <c r="Z320" i="1"/>
  <c r="AB320" i="1"/>
  <c r="AC320" i="1"/>
  <c r="AD320" i="1"/>
  <c r="AE320" i="1"/>
  <c r="AF320" i="1"/>
  <c r="AG320" i="1"/>
  <c r="AH320" i="1"/>
  <c r="AJ320" i="1"/>
  <c r="AK320" i="1"/>
  <c r="AL320" i="1"/>
  <c r="AO320" i="1"/>
  <c r="AP320" i="1"/>
  <c r="AV320" i="1"/>
  <c r="AW320" i="1"/>
  <c r="AX320" i="1"/>
  <c r="BC320" i="1"/>
  <c r="BD320" i="1"/>
  <c r="BF320" i="1"/>
  <c r="BH320" i="1"/>
  <c r="BI320" i="1"/>
  <c r="BJ320" i="1"/>
  <c r="J322" i="1"/>
  <c r="K322" i="1"/>
  <c r="L322" i="1"/>
  <c r="N322" i="1"/>
  <c r="AS322" i="1"/>
  <c r="AT322" i="1"/>
  <c r="AU322" i="1"/>
  <c r="J323" i="1"/>
  <c r="K323" i="1"/>
  <c r="L323" i="1"/>
  <c r="N323" i="1"/>
  <c r="Z323" i="1"/>
  <c r="AB323" i="1"/>
  <c r="AC323" i="1"/>
  <c r="AD323" i="1"/>
  <c r="AE323" i="1"/>
  <c r="AF323" i="1"/>
  <c r="AG323" i="1"/>
  <c r="AH323" i="1"/>
  <c r="AJ323" i="1"/>
  <c r="AK323" i="1"/>
  <c r="AL323" i="1"/>
  <c r="AO323" i="1"/>
  <c r="AP323" i="1"/>
  <c r="AV323" i="1"/>
  <c r="AW323" i="1"/>
  <c r="AX323" i="1"/>
  <c r="BC323" i="1"/>
  <c r="BD323" i="1"/>
  <c r="BF323" i="1"/>
  <c r="BH323" i="1"/>
  <c r="BI323" i="1"/>
  <c r="BJ323" i="1"/>
  <c r="J324" i="1"/>
  <c r="K324" i="1"/>
  <c r="L324" i="1"/>
  <c r="N324" i="1"/>
  <c r="Z324" i="1"/>
  <c r="AB324" i="1"/>
  <c r="AC324" i="1"/>
  <c r="AD324" i="1"/>
  <c r="AE324" i="1"/>
  <c r="AF324" i="1"/>
  <c r="AG324" i="1"/>
  <c r="AH324" i="1"/>
  <c r="AJ324" i="1"/>
  <c r="AK324" i="1"/>
  <c r="AL324" i="1"/>
  <c r="AO324" i="1"/>
  <c r="AP324" i="1"/>
  <c r="AV324" i="1"/>
  <c r="AW324" i="1"/>
  <c r="AX324" i="1"/>
  <c r="BC324" i="1"/>
  <c r="BD324" i="1"/>
  <c r="BF324" i="1"/>
  <c r="BH324" i="1"/>
  <c r="BI324" i="1"/>
  <c r="BJ324" i="1"/>
  <c r="J325" i="1"/>
  <c r="K325" i="1"/>
  <c r="L325" i="1"/>
  <c r="N325" i="1"/>
  <c r="AS325" i="1"/>
  <c r="AT325" i="1"/>
  <c r="AU325" i="1"/>
  <c r="J326" i="1"/>
  <c r="K326" i="1"/>
  <c r="L326" i="1"/>
  <c r="N326" i="1"/>
  <c r="Z326" i="1"/>
  <c r="AB326" i="1"/>
  <c r="AC326" i="1"/>
  <c r="AD326" i="1"/>
  <c r="AE326" i="1"/>
  <c r="AF326" i="1"/>
  <c r="AG326" i="1"/>
  <c r="AH326" i="1"/>
  <c r="AJ326" i="1"/>
  <c r="AK326" i="1"/>
  <c r="AL326" i="1"/>
  <c r="AO326" i="1"/>
  <c r="AP326" i="1"/>
  <c r="AV326" i="1"/>
  <c r="AW326" i="1"/>
  <c r="AX326" i="1"/>
  <c r="BC326" i="1"/>
  <c r="BD326" i="1"/>
  <c r="BF326" i="1"/>
  <c r="BH326" i="1"/>
  <c r="BI326" i="1"/>
  <c r="BJ326" i="1"/>
  <c r="J327" i="1"/>
  <c r="K327" i="1"/>
  <c r="L327" i="1"/>
  <c r="N327" i="1"/>
  <c r="Z327" i="1"/>
  <c r="AB327" i="1"/>
  <c r="AC327" i="1"/>
  <c r="AD327" i="1"/>
  <c r="AE327" i="1"/>
  <c r="AF327" i="1"/>
  <c r="AG327" i="1"/>
  <c r="AH327" i="1"/>
  <c r="AJ327" i="1"/>
  <c r="AK327" i="1"/>
  <c r="AL327" i="1"/>
  <c r="AO327" i="1"/>
  <c r="AP327" i="1"/>
  <c r="AV327" i="1"/>
  <c r="AW327" i="1"/>
  <c r="AX327" i="1"/>
  <c r="BC327" i="1"/>
  <c r="BD327" i="1"/>
  <c r="BF327" i="1"/>
  <c r="BH327" i="1"/>
  <c r="BI327" i="1"/>
  <c r="BJ327" i="1"/>
  <c r="J328" i="1"/>
  <c r="K328" i="1"/>
  <c r="L328" i="1"/>
  <c r="N328" i="1"/>
  <c r="AS328" i="1"/>
  <c r="AT328" i="1"/>
  <c r="AU328" i="1"/>
  <c r="J329" i="1"/>
  <c r="K329" i="1"/>
  <c r="L329" i="1"/>
  <c r="N329" i="1"/>
  <c r="Z329" i="1"/>
  <c r="AB329" i="1"/>
  <c r="AC329" i="1"/>
  <c r="AD329" i="1"/>
  <c r="AE329" i="1"/>
  <c r="AF329" i="1"/>
  <c r="AG329" i="1"/>
  <c r="AH329" i="1"/>
  <c r="AJ329" i="1"/>
  <c r="AK329" i="1"/>
  <c r="AL329" i="1"/>
  <c r="AO329" i="1"/>
  <c r="AP329" i="1"/>
  <c r="AV329" i="1"/>
  <c r="AW329" i="1"/>
  <c r="AX329" i="1"/>
  <c r="BC329" i="1"/>
  <c r="BD329" i="1"/>
  <c r="BF329" i="1"/>
  <c r="BH329" i="1"/>
  <c r="BI329" i="1"/>
  <c r="BJ329" i="1"/>
  <c r="J330" i="1"/>
  <c r="K330" i="1"/>
  <c r="L330" i="1"/>
  <c r="N330" i="1"/>
  <c r="Z330" i="1"/>
  <c r="AB330" i="1"/>
  <c r="AC330" i="1"/>
  <c r="AD330" i="1"/>
  <c r="AE330" i="1"/>
  <c r="AF330" i="1"/>
  <c r="AG330" i="1"/>
  <c r="AH330" i="1"/>
  <c r="AJ330" i="1"/>
  <c r="AK330" i="1"/>
  <c r="AL330" i="1"/>
  <c r="AO330" i="1"/>
  <c r="AP330" i="1"/>
  <c r="AV330" i="1"/>
  <c r="AW330" i="1"/>
  <c r="AX330" i="1"/>
  <c r="BC330" i="1"/>
  <c r="BD330" i="1"/>
  <c r="BF330" i="1"/>
  <c r="BH330" i="1"/>
  <c r="BI330" i="1"/>
  <c r="BJ330" i="1"/>
  <c r="J331" i="1"/>
  <c r="K331" i="1"/>
  <c r="L331" i="1"/>
  <c r="N331" i="1"/>
  <c r="Z331" i="1"/>
  <c r="AB331" i="1"/>
  <c r="AC331" i="1"/>
  <c r="AD331" i="1"/>
  <c r="AE331" i="1"/>
  <c r="AF331" i="1"/>
  <c r="AG331" i="1"/>
  <c r="AH331" i="1"/>
  <c r="AJ331" i="1"/>
  <c r="AK331" i="1"/>
  <c r="AL331" i="1"/>
  <c r="AO331" i="1"/>
  <c r="AP331" i="1"/>
  <c r="AV331" i="1"/>
  <c r="AW331" i="1"/>
  <c r="AX331" i="1"/>
  <c r="BC331" i="1"/>
  <c r="BD331" i="1"/>
  <c r="BF331" i="1"/>
  <c r="BH331" i="1"/>
  <c r="BI331" i="1"/>
  <c r="BJ331" i="1"/>
  <c r="J332" i="1"/>
  <c r="K332" i="1"/>
  <c r="L332" i="1"/>
  <c r="N332" i="1"/>
  <c r="AS332" i="1"/>
  <c r="AT332" i="1"/>
  <c r="AU332" i="1"/>
  <c r="J333" i="1"/>
  <c r="K333" i="1"/>
  <c r="L333" i="1"/>
  <c r="N333" i="1"/>
  <c r="Z333" i="1"/>
  <c r="AB333" i="1"/>
  <c r="AC333" i="1"/>
  <c r="AD333" i="1"/>
  <c r="AE333" i="1"/>
  <c r="AF333" i="1"/>
  <c r="AG333" i="1"/>
  <c r="AH333" i="1"/>
  <c r="AJ333" i="1"/>
  <c r="AK333" i="1"/>
  <c r="AL333" i="1"/>
  <c r="AO333" i="1"/>
  <c r="AP333" i="1"/>
  <c r="AV333" i="1"/>
  <c r="AW333" i="1"/>
  <c r="AX333" i="1"/>
  <c r="BC333" i="1"/>
  <c r="BD333" i="1"/>
  <c r="BF333" i="1"/>
  <c r="BH333" i="1"/>
  <c r="BI333" i="1"/>
  <c r="BJ333" i="1"/>
  <c r="J334" i="1"/>
  <c r="K334" i="1"/>
  <c r="L334" i="1"/>
  <c r="N334" i="1"/>
  <c r="Z334" i="1"/>
  <c r="AB334" i="1"/>
  <c r="AC334" i="1"/>
  <c r="AD334" i="1"/>
  <c r="AE334" i="1"/>
  <c r="AF334" i="1"/>
  <c r="AG334" i="1"/>
  <c r="AH334" i="1"/>
  <c r="AJ334" i="1"/>
  <c r="AK334" i="1"/>
  <c r="AL334" i="1"/>
  <c r="AO334" i="1"/>
  <c r="AP334" i="1"/>
  <c r="AV334" i="1"/>
  <c r="AW334" i="1"/>
  <c r="AX334" i="1"/>
  <c r="BC334" i="1"/>
  <c r="BD334" i="1"/>
  <c r="BF334" i="1"/>
  <c r="BH334" i="1"/>
  <c r="BI334" i="1"/>
  <c r="BJ334" i="1"/>
  <c r="J335" i="1"/>
  <c r="K335" i="1"/>
  <c r="L335" i="1"/>
  <c r="N335" i="1"/>
  <c r="Z335" i="1"/>
  <c r="AB335" i="1"/>
  <c r="AC335" i="1"/>
  <c r="AD335" i="1"/>
  <c r="AE335" i="1"/>
  <c r="AF335" i="1"/>
  <c r="AG335" i="1"/>
  <c r="AH335" i="1"/>
  <c r="AJ335" i="1"/>
  <c r="AK335" i="1"/>
  <c r="AL335" i="1"/>
  <c r="AO335" i="1"/>
  <c r="AP335" i="1"/>
  <c r="AV335" i="1"/>
  <c r="AW335" i="1"/>
  <c r="AX335" i="1"/>
  <c r="BC335" i="1"/>
  <c r="BD335" i="1"/>
  <c r="BF335" i="1"/>
  <c r="BH335" i="1"/>
  <c r="BI335" i="1"/>
  <c r="BJ335" i="1"/>
  <c r="J336" i="1"/>
  <c r="K336" i="1"/>
  <c r="L336" i="1"/>
  <c r="N336" i="1"/>
  <c r="Z336" i="1"/>
  <c r="AB336" i="1"/>
  <c r="AC336" i="1"/>
  <c r="AD336" i="1"/>
  <c r="AE336" i="1"/>
  <c r="AF336" i="1"/>
  <c r="AG336" i="1"/>
  <c r="AH336" i="1"/>
  <c r="AJ336" i="1"/>
  <c r="AK336" i="1"/>
  <c r="AL336" i="1"/>
  <c r="AO336" i="1"/>
  <c r="AP336" i="1"/>
  <c r="AV336" i="1"/>
  <c r="AW336" i="1"/>
  <c r="AX336" i="1"/>
  <c r="BC336" i="1"/>
  <c r="BD336" i="1"/>
  <c r="BF336" i="1"/>
  <c r="BH336" i="1"/>
  <c r="BI336" i="1"/>
  <c r="BJ336" i="1"/>
  <c r="J337" i="1"/>
  <c r="K337" i="1"/>
  <c r="L337" i="1"/>
  <c r="N337" i="1"/>
  <c r="Z337" i="1"/>
  <c r="AB337" i="1"/>
  <c r="AC337" i="1"/>
  <c r="AD337" i="1"/>
  <c r="AE337" i="1"/>
  <c r="AF337" i="1"/>
  <c r="AG337" i="1"/>
  <c r="AH337" i="1"/>
  <c r="AJ337" i="1"/>
  <c r="AK337" i="1"/>
  <c r="AL337" i="1"/>
  <c r="AO337" i="1"/>
  <c r="AP337" i="1"/>
  <c r="AV337" i="1"/>
  <c r="AW337" i="1"/>
  <c r="AX337" i="1"/>
  <c r="BC337" i="1"/>
  <c r="BD337" i="1"/>
  <c r="BF337" i="1"/>
  <c r="BH337" i="1"/>
  <c r="BI337" i="1"/>
  <c r="BJ337" i="1"/>
  <c r="J338" i="1"/>
  <c r="K338" i="1"/>
  <c r="L338" i="1"/>
  <c r="N338" i="1"/>
  <c r="AS338" i="1"/>
  <c r="AT338" i="1"/>
  <c r="AU338" i="1"/>
  <c r="J339" i="1"/>
  <c r="K339" i="1"/>
  <c r="L339" i="1"/>
  <c r="N339" i="1"/>
  <c r="Z339" i="1"/>
  <c r="AB339" i="1"/>
  <c r="AC339" i="1"/>
  <c r="AD339" i="1"/>
  <c r="AE339" i="1"/>
  <c r="AF339" i="1"/>
  <c r="AG339" i="1"/>
  <c r="AH339" i="1"/>
  <c r="AJ339" i="1"/>
  <c r="AK339" i="1"/>
  <c r="AL339" i="1"/>
  <c r="AO339" i="1"/>
  <c r="AP339" i="1"/>
  <c r="AV339" i="1"/>
  <c r="AW339" i="1"/>
  <c r="AX339" i="1"/>
  <c r="BC339" i="1"/>
  <c r="BD339" i="1"/>
  <c r="BF339" i="1"/>
  <c r="BH339" i="1"/>
  <c r="BI339" i="1"/>
  <c r="BJ339" i="1"/>
  <c r="J340" i="1"/>
  <c r="K340" i="1"/>
  <c r="L340" i="1"/>
  <c r="N340" i="1"/>
  <c r="AS340" i="1"/>
  <c r="AT340" i="1"/>
  <c r="AU340" i="1"/>
  <c r="J341" i="1"/>
  <c r="K341" i="1"/>
  <c r="L341" i="1"/>
  <c r="N341" i="1"/>
  <c r="Z341" i="1"/>
  <c r="AB341" i="1"/>
  <c r="AC341" i="1"/>
  <c r="AD341" i="1"/>
  <c r="AE341" i="1"/>
  <c r="AF341" i="1"/>
  <c r="AG341" i="1"/>
  <c r="AH341" i="1"/>
  <c r="AJ341" i="1"/>
  <c r="AK341" i="1"/>
  <c r="AL341" i="1"/>
  <c r="AO341" i="1"/>
  <c r="AP341" i="1"/>
  <c r="AV341" i="1"/>
  <c r="AW341" i="1"/>
  <c r="AX341" i="1"/>
  <c r="BC341" i="1"/>
  <c r="BD341" i="1"/>
  <c r="BF341" i="1"/>
  <c r="BH341" i="1"/>
  <c r="BI341" i="1"/>
  <c r="BJ341" i="1"/>
  <c r="J342" i="1"/>
  <c r="K342" i="1"/>
  <c r="L342" i="1"/>
  <c r="N342" i="1"/>
  <c r="AS342" i="1"/>
  <c r="AT342" i="1"/>
  <c r="AU342" i="1"/>
  <c r="J343" i="1"/>
  <c r="K343" i="1"/>
  <c r="L343" i="1"/>
  <c r="N343" i="1"/>
  <c r="Z343" i="1"/>
  <c r="AB343" i="1"/>
  <c r="AC343" i="1"/>
  <c r="AD343" i="1"/>
  <c r="AE343" i="1"/>
  <c r="AF343" i="1"/>
  <c r="AG343" i="1"/>
  <c r="AH343" i="1"/>
  <c r="AJ343" i="1"/>
  <c r="AK343" i="1"/>
  <c r="AL343" i="1"/>
  <c r="AO343" i="1"/>
  <c r="AP343" i="1"/>
  <c r="AV343" i="1"/>
  <c r="AW343" i="1"/>
  <c r="AX343" i="1"/>
  <c r="BC343" i="1"/>
  <c r="BD343" i="1"/>
  <c r="BF343" i="1"/>
  <c r="BH343" i="1"/>
  <c r="BI343" i="1"/>
  <c r="BJ343" i="1"/>
  <c r="J344" i="1"/>
  <c r="K344" i="1"/>
  <c r="L344" i="1"/>
  <c r="N344" i="1"/>
  <c r="AS344" i="1"/>
  <c r="AT344" i="1"/>
  <c r="AU344" i="1"/>
  <c r="J345" i="1"/>
  <c r="K345" i="1"/>
  <c r="L345" i="1"/>
  <c r="N345" i="1"/>
  <c r="Z345" i="1"/>
  <c r="AB345" i="1"/>
  <c r="AC345" i="1"/>
  <c r="AD345" i="1"/>
  <c r="AE345" i="1"/>
  <c r="AF345" i="1"/>
  <c r="AG345" i="1"/>
  <c r="AH345" i="1"/>
  <c r="AJ345" i="1"/>
  <c r="AK345" i="1"/>
  <c r="AL345" i="1"/>
  <c r="AO345" i="1"/>
  <c r="AP345" i="1"/>
  <c r="AV345" i="1"/>
  <c r="AW345" i="1"/>
  <c r="AX345" i="1"/>
  <c r="BC345" i="1"/>
  <c r="BD345" i="1"/>
  <c r="BF345" i="1"/>
  <c r="BH345" i="1"/>
  <c r="BI345" i="1"/>
  <c r="BJ345" i="1"/>
  <c r="J346" i="1"/>
  <c r="K346" i="1"/>
  <c r="L346" i="1"/>
  <c r="N346" i="1"/>
  <c r="AS346" i="1"/>
  <c r="AT346" i="1"/>
  <c r="AU346" i="1"/>
  <c r="J347" i="1"/>
  <c r="K347" i="1"/>
  <c r="L347" i="1"/>
  <c r="N347" i="1"/>
  <c r="Z347" i="1"/>
  <c r="AB347" i="1"/>
  <c r="AC347" i="1"/>
  <c r="AD347" i="1"/>
  <c r="AE347" i="1"/>
  <c r="AF347" i="1"/>
  <c r="AG347" i="1"/>
  <c r="AH347" i="1"/>
  <c r="AJ347" i="1"/>
  <c r="AK347" i="1"/>
  <c r="AL347" i="1"/>
  <c r="AO347" i="1"/>
  <c r="AP347" i="1"/>
  <c r="AV347" i="1"/>
  <c r="AW347" i="1"/>
  <c r="AX347" i="1"/>
  <c r="BC347" i="1"/>
  <c r="BD347" i="1"/>
  <c r="BF347" i="1"/>
  <c r="BH347" i="1"/>
  <c r="BI347" i="1"/>
  <c r="BJ347" i="1"/>
  <c r="J348" i="1"/>
  <c r="K348" i="1"/>
  <c r="L348" i="1"/>
  <c r="N348" i="1"/>
  <c r="AS348" i="1"/>
  <c r="AT348" i="1"/>
  <c r="AU348" i="1"/>
  <c r="J349" i="1"/>
  <c r="K349" i="1"/>
  <c r="L349" i="1"/>
  <c r="N349" i="1"/>
  <c r="Z349" i="1"/>
  <c r="AB349" i="1"/>
  <c r="AC349" i="1"/>
  <c r="AD349" i="1"/>
  <c r="AE349" i="1"/>
  <c r="AF349" i="1"/>
  <c r="AG349" i="1"/>
  <c r="AH349" i="1"/>
  <c r="AJ349" i="1"/>
  <c r="AK349" i="1"/>
  <c r="AL349" i="1"/>
  <c r="AO349" i="1"/>
  <c r="AP349" i="1"/>
  <c r="AV349" i="1"/>
  <c r="AW349" i="1"/>
  <c r="AX349" i="1"/>
  <c r="BC349" i="1"/>
  <c r="BD349" i="1"/>
  <c r="BF349" i="1"/>
  <c r="BH349" i="1"/>
  <c r="BI349" i="1"/>
  <c r="BJ349" i="1"/>
  <c r="J350" i="1"/>
  <c r="K350" i="1"/>
  <c r="L350" i="1"/>
  <c r="N350" i="1"/>
  <c r="AS350" i="1"/>
  <c r="AT350" i="1"/>
  <c r="AU350" i="1"/>
  <c r="J351" i="1"/>
  <c r="K351" i="1"/>
  <c r="L351" i="1"/>
  <c r="N351" i="1"/>
  <c r="Z351" i="1"/>
  <c r="AB351" i="1"/>
  <c r="AC351" i="1"/>
  <c r="AD351" i="1"/>
  <c r="AE351" i="1"/>
  <c r="AF351" i="1"/>
  <c r="AG351" i="1"/>
  <c r="AH351" i="1"/>
  <c r="AJ351" i="1"/>
  <c r="AK351" i="1"/>
  <c r="AL351" i="1"/>
  <c r="AO351" i="1"/>
  <c r="AP351" i="1"/>
  <c r="AV351" i="1"/>
  <c r="AW351" i="1"/>
  <c r="AX351" i="1"/>
  <c r="BC351" i="1"/>
  <c r="BD351" i="1"/>
  <c r="BF351" i="1"/>
  <c r="BH351" i="1"/>
  <c r="BI351" i="1"/>
  <c r="BJ351" i="1"/>
  <c r="J352" i="1"/>
  <c r="K352" i="1"/>
  <c r="L352" i="1"/>
  <c r="N352" i="1"/>
  <c r="AS352" i="1"/>
  <c r="AT352" i="1"/>
  <c r="AU352" i="1"/>
  <c r="J353" i="1"/>
  <c r="K353" i="1"/>
  <c r="L353" i="1"/>
  <c r="N353" i="1"/>
  <c r="Z353" i="1"/>
  <c r="AB353" i="1"/>
  <c r="AC353" i="1"/>
  <c r="AD353" i="1"/>
  <c r="AE353" i="1"/>
  <c r="AF353" i="1"/>
  <c r="AG353" i="1"/>
  <c r="AH353" i="1"/>
  <c r="AJ353" i="1"/>
  <c r="AK353" i="1"/>
  <c r="AL353" i="1"/>
  <c r="AO353" i="1"/>
  <c r="AP353" i="1"/>
  <c r="AV353" i="1"/>
  <c r="AW353" i="1"/>
  <c r="AX353" i="1"/>
  <c r="BC353" i="1"/>
  <c r="BD353" i="1"/>
  <c r="BF353" i="1"/>
  <c r="BH353" i="1"/>
  <c r="BI353" i="1"/>
  <c r="BJ353" i="1"/>
  <c r="J354" i="1"/>
  <c r="K354" i="1"/>
  <c r="L354" i="1"/>
  <c r="N354" i="1"/>
  <c r="AS354" i="1"/>
  <c r="AT354" i="1"/>
  <c r="AU354" i="1"/>
  <c r="J355" i="1"/>
  <c r="K355" i="1"/>
  <c r="L355" i="1"/>
  <c r="N355" i="1"/>
  <c r="Z355" i="1"/>
  <c r="AB355" i="1"/>
  <c r="AC355" i="1"/>
  <c r="AD355" i="1"/>
  <c r="AE355" i="1"/>
  <c r="AF355" i="1"/>
  <c r="AG355" i="1"/>
  <c r="AH355" i="1"/>
  <c r="AJ355" i="1"/>
  <c r="AK355" i="1"/>
  <c r="AL355" i="1"/>
  <c r="AO355" i="1"/>
  <c r="AP355" i="1"/>
  <c r="AV355" i="1"/>
  <c r="AW355" i="1"/>
  <c r="AX355" i="1"/>
  <c r="BC355" i="1"/>
  <c r="BD355" i="1"/>
  <c r="BF355" i="1"/>
  <c r="BH355" i="1"/>
  <c r="BI355" i="1"/>
  <c r="BJ355" i="1"/>
  <c r="J356" i="1"/>
  <c r="K356" i="1"/>
  <c r="L356" i="1"/>
  <c r="N356" i="1"/>
  <c r="AS356" i="1"/>
  <c r="AT356" i="1"/>
  <c r="AU356" i="1"/>
  <c r="J357" i="1"/>
  <c r="K357" i="1"/>
  <c r="L357" i="1"/>
  <c r="N357" i="1"/>
  <c r="Z357" i="1"/>
  <c r="AB357" i="1"/>
  <c r="AC357" i="1"/>
  <c r="AD357" i="1"/>
  <c r="AE357" i="1"/>
  <c r="AF357" i="1"/>
  <c r="AG357" i="1"/>
  <c r="AH357" i="1"/>
  <c r="AJ357" i="1"/>
  <c r="AK357" i="1"/>
  <c r="AL357" i="1"/>
  <c r="AO357" i="1"/>
  <c r="AP357" i="1"/>
  <c r="AV357" i="1"/>
  <c r="AW357" i="1"/>
  <c r="AX357" i="1"/>
  <c r="BC357" i="1"/>
  <c r="BD357" i="1"/>
  <c r="BF357" i="1"/>
  <c r="BH357" i="1"/>
  <c r="BI357" i="1"/>
  <c r="BJ357" i="1"/>
  <c r="J358" i="1"/>
  <c r="K358" i="1"/>
  <c r="L358" i="1"/>
  <c r="N358" i="1"/>
  <c r="AS358" i="1"/>
  <c r="AT358" i="1"/>
  <c r="AU358" i="1"/>
  <c r="J359" i="1"/>
  <c r="K359" i="1"/>
  <c r="L359" i="1"/>
  <c r="N359" i="1"/>
  <c r="Z359" i="1"/>
  <c r="AB359" i="1"/>
  <c r="AC359" i="1"/>
  <c r="AD359" i="1"/>
  <c r="AE359" i="1"/>
  <c r="AF359" i="1"/>
  <c r="AG359" i="1"/>
  <c r="AH359" i="1"/>
  <c r="AJ359" i="1"/>
  <c r="AK359" i="1"/>
  <c r="AL359" i="1"/>
  <c r="AO359" i="1"/>
  <c r="AP359" i="1"/>
  <c r="AV359" i="1"/>
  <c r="AW359" i="1"/>
  <c r="AX359" i="1"/>
  <c r="BC359" i="1"/>
  <c r="BD359" i="1"/>
  <c r="BF359" i="1"/>
  <c r="BH359" i="1"/>
  <c r="BI359" i="1"/>
  <c r="BJ359" i="1"/>
  <c r="J360" i="1"/>
  <c r="K360" i="1"/>
  <c r="L360" i="1"/>
  <c r="N360" i="1"/>
  <c r="AS360" i="1"/>
  <c r="AT360" i="1"/>
  <c r="AU360" i="1"/>
  <c r="J361" i="1"/>
  <c r="K361" i="1"/>
  <c r="L361" i="1"/>
  <c r="N361" i="1"/>
  <c r="Z361" i="1"/>
  <c r="AB361" i="1"/>
  <c r="AC361" i="1"/>
  <c r="AD361" i="1"/>
  <c r="AE361" i="1"/>
  <c r="AF361" i="1"/>
  <c r="AG361" i="1"/>
  <c r="AH361" i="1"/>
  <c r="AJ361" i="1"/>
  <c r="AK361" i="1"/>
  <c r="AL361" i="1"/>
  <c r="AO361" i="1"/>
  <c r="AP361" i="1"/>
  <c r="AV361" i="1"/>
  <c r="AW361" i="1"/>
  <c r="AX361" i="1"/>
  <c r="BC361" i="1"/>
  <c r="BD361" i="1"/>
  <c r="BF361" i="1"/>
  <c r="BH361" i="1"/>
  <c r="BI361" i="1"/>
  <c r="BJ361" i="1"/>
  <c r="J362" i="1"/>
  <c r="K362" i="1"/>
  <c r="L362" i="1"/>
  <c r="N362" i="1"/>
  <c r="AS362" i="1"/>
  <c r="AT362" i="1"/>
  <c r="AU362" i="1"/>
  <c r="J363" i="1"/>
  <c r="K363" i="1"/>
  <c r="L363" i="1"/>
  <c r="N363" i="1"/>
  <c r="Z363" i="1"/>
  <c r="AB363" i="1"/>
  <c r="AC363" i="1"/>
  <c r="AD363" i="1"/>
  <c r="AE363" i="1"/>
  <c r="AF363" i="1"/>
  <c r="AG363" i="1"/>
  <c r="AH363" i="1"/>
  <c r="AJ363" i="1"/>
  <c r="AK363" i="1"/>
  <c r="AL363" i="1"/>
  <c r="AO363" i="1"/>
  <c r="AP363" i="1"/>
  <c r="AV363" i="1"/>
  <c r="AW363" i="1"/>
  <c r="AX363" i="1"/>
  <c r="BC363" i="1"/>
  <c r="BD363" i="1"/>
  <c r="BF363" i="1"/>
  <c r="BH363" i="1"/>
  <c r="BI363" i="1"/>
  <c r="BJ363" i="1"/>
  <c r="J364" i="1"/>
  <c r="K364" i="1"/>
  <c r="L364" i="1"/>
  <c r="N364" i="1"/>
  <c r="AS364" i="1"/>
  <c r="AT364" i="1"/>
  <c r="AU364" i="1"/>
  <c r="J365" i="1"/>
  <c r="K365" i="1"/>
  <c r="L365" i="1"/>
  <c r="N365" i="1"/>
  <c r="Z365" i="1"/>
  <c r="AB365" i="1"/>
  <c r="AC365" i="1"/>
  <c r="AD365" i="1"/>
  <c r="AE365" i="1"/>
  <c r="AF365" i="1"/>
  <c r="AG365" i="1"/>
  <c r="AH365" i="1"/>
  <c r="AJ365" i="1"/>
  <c r="AK365" i="1"/>
  <c r="AL365" i="1"/>
  <c r="AO365" i="1"/>
  <c r="AP365" i="1"/>
  <c r="AV365" i="1"/>
  <c r="AW365" i="1"/>
  <c r="AX365" i="1"/>
  <c r="BC365" i="1"/>
  <c r="BD365" i="1"/>
  <c r="BF365" i="1"/>
  <c r="BH365" i="1"/>
  <c r="BI365" i="1"/>
  <c r="BJ365" i="1"/>
  <c r="J366" i="1"/>
  <c r="K366" i="1"/>
  <c r="L366" i="1"/>
  <c r="N366" i="1"/>
  <c r="AS366" i="1"/>
  <c r="AT366" i="1"/>
  <c r="AU366" i="1"/>
  <c r="J367" i="1"/>
  <c r="K367" i="1"/>
  <c r="L367" i="1"/>
  <c r="N367" i="1"/>
  <c r="Z367" i="1"/>
  <c r="AB367" i="1"/>
  <c r="AC367" i="1"/>
  <c r="AD367" i="1"/>
  <c r="AE367" i="1"/>
  <c r="AF367" i="1"/>
  <c r="AG367" i="1"/>
  <c r="AH367" i="1"/>
  <c r="AJ367" i="1"/>
  <c r="AK367" i="1"/>
  <c r="AL367" i="1"/>
  <c r="AO367" i="1"/>
  <c r="AP367" i="1"/>
  <c r="AV367" i="1"/>
  <c r="AW367" i="1"/>
  <c r="AX367" i="1"/>
  <c r="BC367" i="1"/>
  <c r="BD367" i="1"/>
  <c r="BF367" i="1"/>
  <c r="BH367" i="1"/>
  <c r="BI367" i="1"/>
  <c r="BJ367" i="1"/>
  <c r="J368" i="1"/>
  <c r="K368" i="1"/>
  <c r="L368" i="1"/>
  <c r="N368" i="1"/>
  <c r="AS368" i="1"/>
  <c r="AT368" i="1"/>
  <c r="AU368" i="1"/>
  <c r="J369" i="1"/>
  <c r="K369" i="1"/>
  <c r="L369" i="1"/>
  <c r="N369" i="1"/>
  <c r="Z369" i="1"/>
  <c r="AB369" i="1"/>
  <c r="AC369" i="1"/>
  <c r="AD369" i="1"/>
  <c r="AE369" i="1"/>
  <c r="AF369" i="1"/>
  <c r="AG369" i="1"/>
  <c r="AH369" i="1"/>
  <c r="AJ369" i="1"/>
  <c r="AK369" i="1"/>
  <c r="AL369" i="1"/>
  <c r="AO369" i="1"/>
  <c r="AP369" i="1"/>
  <c r="AV369" i="1"/>
  <c r="AW369" i="1"/>
  <c r="AX369" i="1"/>
  <c r="BC369" i="1"/>
  <c r="BD369" i="1"/>
  <c r="BF369" i="1"/>
  <c r="BH369" i="1"/>
  <c r="BI369" i="1"/>
  <c r="BJ369" i="1"/>
  <c r="J370" i="1"/>
  <c r="K370" i="1"/>
  <c r="L370" i="1"/>
  <c r="N370" i="1"/>
  <c r="Z370" i="1"/>
  <c r="AB370" i="1"/>
  <c r="AC370" i="1"/>
  <c r="AD370" i="1"/>
  <c r="AE370" i="1"/>
  <c r="AF370" i="1"/>
  <c r="AG370" i="1"/>
  <c r="AH370" i="1"/>
  <c r="AJ370" i="1"/>
  <c r="AK370" i="1"/>
  <c r="AL370" i="1"/>
  <c r="AO370" i="1"/>
  <c r="AP370" i="1"/>
  <c r="AV370" i="1"/>
  <c r="AW370" i="1"/>
  <c r="AX370" i="1"/>
  <c r="BC370" i="1"/>
  <c r="BD370" i="1"/>
  <c r="BF370" i="1"/>
  <c r="BH370" i="1"/>
  <c r="BI370" i="1"/>
  <c r="BJ370" i="1"/>
  <c r="J371" i="1"/>
  <c r="K371" i="1"/>
  <c r="L371" i="1"/>
  <c r="N371" i="1"/>
  <c r="Z371" i="1"/>
  <c r="AB371" i="1"/>
  <c r="AC371" i="1"/>
  <c r="AD371" i="1"/>
  <c r="AE371" i="1"/>
  <c r="AF371" i="1"/>
  <c r="AG371" i="1"/>
  <c r="AH371" i="1"/>
  <c r="AJ371" i="1"/>
  <c r="AK371" i="1"/>
  <c r="AL371" i="1"/>
  <c r="AO371" i="1"/>
  <c r="AP371" i="1"/>
  <c r="AV371" i="1"/>
  <c r="AW371" i="1"/>
  <c r="AX371" i="1"/>
  <c r="BC371" i="1"/>
  <c r="BD371" i="1"/>
  <c r="BF371" i="1"/>
  <c r="BH371" i="1"/>
  <c r="BI371" i="1"/>
  <c r="BJ371" i="1"/>
  <c r="J372" i="1"/>
  <c r="K372" i="1"/>
  <c r="L372" i="1"/>
  <c r="N372" i="1"/>
  <c r="AS372" i="1"/>
  <c r="AT372" i="1"/>
  <c r="AU372" i="1"/>
  <c r="J373" i="1"/>
  <c r="K373" i="1"/>
  <c r="L373" i="1"/>
  <c r="N373" i="1"/>
  <c r="Z373" i="1"/>
  <c r="AB373" i="1"/>
  <c r="AC373" i="1"/>
  <c r="AD373" i="1"/>
  <c r="AE373" i="1"/>
  <c r="AF373" i="1"/>
  <c r="AG373" i="1"/>
  <c r="AH373" i="1"/>
  <c r="AJ373" i="1"/>
  <c r="AK373" i="1"/>
  <c r="AL373" i="1"/>
  <c r="AO373" i="1"/>
  <c r="AP373" i="1"/>
  <c r="AV373" i="1"/>
  <c r="AW373" i="1"/>
  <c r="AX373" i="1"/>
  <c r="BC373" i="1"/>
  <c r="BD373" i="1"/>
  <c r="BF373" i="1"/>
  <c r="BH373" i="1"/>
  <c r="BI373" i="1"/>
  <c r="BJ373" i="1"/>
  <c r="J374" i="1"/>
  <c r="K374" i="1"/>
  <c r="L374" i="1"/>
  <c r="N374" i="1"/>
  <c r="Z374" i="1"/>
  <c r="AB374" i="1"/>
  <c r="AC374" i="1"/>
  <c r="AD374" i="1"/>
  <c r="AE374" i="1"/>
  <c r="AF374" i="1"/>
  <c r="AG374" i="1"/>
  <c r="AH374" i="1"/>
  <c r="AJ374" i="1"/>
  <c r="AK374" i="1"/>
  <c r="AL374" i="1"/>
  <c r="AO374" i="1"/>
  <c r="AP374" i="1"/>
  <c r="AV374" i="1"/>
  <c r="AW374" i="1"/>
  <c r="AX374" i="1"/>
  <c r="BC374" i="1"/>
  <c r="BD374" i="1"/>
  <c r="BF374" i="1"/>
  <c r="BH374" i="1"/>
  <c r="BI374" i="1"/>
  <c r="BJ374" i="1"/>
  <c r="J375" i="1"/>
  <c r="K375" i="1"/>
  <c r="L375" i="1"/>
  <c r="N375" i="1"/>
  <c r="Z375" i="1"/>
  <c r="AB375" i="1"/>
  <c r="AC375" i="1"/>
  <c r="AD375" i="1"/>
  <c r="AE375" i="1"/>
  <c r="AF375" i="1"/>
  <c r="AG375" i="1"/>
  <c r="AH375" i="1"/>
  <c r="AJ375" i="1"/>
  <c r="AK375" i="1"/>
  <c r="AL375" i="1"/>
  <c r="AO375" i="1"/>
  <c r="AP375" i="1"/>
  <c r="AV375" i="1"/>
  <c r="AW375" i="1"/>
  <c r="AX375" i="1"/>
  <c r="BC375" i="1"/>
  <c r="BD375" i="1"/>
  <c r="BF375" i="1"/>
  <c r="BH375" i="1"/>
  <c r="BI375" i="1"/>
  <c r="BJ375" i="1"/>
  <c r="J376" i="1"/>
  <c r="K376" i="1"/>
  <c r="L376" i="1"/>
  <c r="N376" i="1"/>
  <c r="Z376" i="1"/>
  <c r="AB376" i="1"/>
  <c r="AC376" i="1"/>
  <c r="AD376" i="1"/>
  <c r="AE376" i="1"/>
  <c r="AF376" i="1"/>
  <c r="AG376" i="1"/>
  <c r="AH376" i="1"/>
  <c r="AJ376" i="1"/>
  <c r="AK376" i="1"/>
  <c r="AL376" i="1"/>
  <c r="AO376" i="1"/>
  <c r="AP376" i="1"/>
  <c r="AV376" i="1"/>
  <c r="AW376" i="1"/>
  <c r="AX376" i="1"/>
  <c r="BC376" i="1"/>
  <c r="BD376" i="1"/>
  <c r="BF376" i="1"/>
  <c r="BH376" i="1"/>
  <c r="BI376" i="1"/>
  <c r="BJ376" i="1"/>
  <c r="J377" i="1"/>
  <c r="K377" i="1"/>
  <c r="L377" i="1"/>
  <c r="N377" i="1"/>
  <c r="Z377" i="1"/>
  <c r="AB377" i="1"/>
  <c r="AC377" i="1"/>
  <c r="AD377" i="1"/>
  <c r="AE377" i="1"/>
  <c r="AF377" i="1"/>
  <c r="AG377" i="1"/>
  <c r="AH377" i="1"/>
  <c r="AJ377" i="1"/>
  <c r="AK377" i="1"/>
  <c r="AL377" i="1"/>
  <c r="AO377" i="1"/>
  <c r="AP377" i="1"/>
  <c r="AV377" i="1"/>
  <c r="AW377" i="1"/>
  <c r="AX377" i="1"/>
  <c r="BC377" i="1"/>
  <c r="BD377" i="1"/>
  <c r="BF377" i="1"/>
  <c r="BH377" i="1"/>
  <c r="BI377" i="1"/>
  <c r="BJ377" i="1"/>
  <c r="J378" i="1"/>
  <c r="K378" i="1"/>
  <c r="L378" i="1"/>
  <c r="N378" i="1"/>
  <c r="Z378" i="1"/>
  <c r="AB378" i="1"/>
  <c r="AC378" i="1"/>
  <c r="AD378" i="1"/>
  <c r="AE378" i="1"/>
  <c r="AF378" i="1"/>
  <c r="AG378" i="1"/>
  <c r="AH378" i="1"/>
  <c r="AJ378" i="1"/>
  <c r="AK378" i="1"/>
  <c r="AL378" i="1"/>
  <c r="AO378" i="1"/>
  <c r="AP378" i="1"/>
  <c r="AV378" i="1"/>
  <c r="AW378" i="1"/>
  <c r="AX378" i="1"/>
  <c r="BC378" i="1"/>
  <c r="BD378" i="1"/>
  <c r="BF378" i="1"/>
  <c r="BH378" i="1"/>
  <c r="BI378" i="1"/>
  <c r="BJ378" i="1"/>
  <c r="J379" i="1"/>
  <c r="K379" i="1"/>
  <c r="L379" i="1"/>
  <c r="N379" i="1"/>
  <c r="AS379" i="1"/>
  <c r="AT379" i="1"/>
  <c r="AU379" i="1"/>
  <c r="J380" i="1"/>
  <c r="K380" i="1"/>
  <c r="L380" i="1"/>
  <c r="N380" i="1"/>
  <c r="Z380" i="1"/>
  <c r="AB380" i="1"/>
  <c r="AC380" i="1"/>
  <c r="AD380" i="1"/>
  <c r="AE380" i="1"/>
  <c r="AF380" i="1"/>
  <c r="AG380" i="1"/>
  <c r="AH380" i="1"/>
  <c r="AJ380" i="1"/>
  <c r="AK380" i="1"/>
  <c r="AL380" i="1"/>
  <c r="AO380" i="1"/>
  <c r="AP380" i="1"/>
  <c r="AV380" i="1"/>
  <c r="AW380" i="1"/>
  <c r="AX380" i="1"/>
  <c r="BC380" i="1"/>
  <c r="BD380" i="1"/>
  <c r="BF380" i="1"/>
  <c r="BH380" i="1"/>
  <c r="BI380" i="1"/>
  <c r="BJ380" i="1"/>
  <c r="J381" i="1"/>
  <c r="K381" i="1"/>
  <c r="L381" i="1"/>
  <c r="N381" i="1"/>
  <c r="Z381" i="1"/>
  <c r="AB381" i="1"/>
  <c r="AC381" i="1"/>
  <c r="AD381" i="1"/>
  <c r="AE381" i="1"/>
  <c r="AF381" i="1"/>
  <c r="AG381" i="1"/>
  <c r="AH381" i="1"/>
  <c r="AJ381" i="1"/>
  <c r="AK381" i="1"/>
  <c r="AL381" i="1"/>
  <c r="AO381" i="1"/>
  <c r="AP381" i="1"/>
  <c r="AV381" i="1"/>
  <c r="AW381" i="1"/>
  <c r="AX381" i="1"/>
  <c r="BC381" i="1"/>
  <c r="BD381" i="1"/>
  <c r="BF381" i="1"/>
  <c r="BH381" i="1"/>
  <c r="BI381" i="1"/>
  <c r="BJ381" i="1"/>
  <c r="J382" i="1"/>
  <c r="K382" i="1"/>
  <c r="L382" i="1"/>
  <c r="N382" i="1"/>
  <c r="Z382" i="1"/>
  <c r="AB382" i="1"/>
  <c r="AC382" i="1"/>
  <c r="AD382" i="1"/>
  <c r="AE382" i="1"/>
  <c r="AF382" i="1"/>
  <c r="AG382" i="1"/>
  <c r="AH382" i="1"/>
  <c r="AJ382" i="1"/>
  <c r="AK382" i="1"/>
  <c r="AL382" i="1"/>
  <c r="AO382" i="1"/>
  <c r="AP382" i="1"/>
  <c r="AV382" i="1"/>
  <c r="AW382" i="1"/>
  <c r="AX382" i="1"/>
  <c r="BC382" i="1"/>
  <c r="BD382" i="1"/>
  <c r="BF382" i="1"/>
  <c r="BH382" i="1"/>
  <c r="BI382" i="1"/>
  <c r="BJ382" i="1"/>
  <c r="J383" i="1"/>
  <c r="K383" i="1"/>
  <c r="L383" i="1"/>
  <c r="N383" i="1"/>
  <c r="Z383" i="1"/>
  <c r="AB383" i="1"/>
  <c r="AC383" i="1"/>
  <c r="AD383" i="1"/>
  <c r="AE383" i="1"/>
  <c r="AF383" i="1"/>
  <c r="AG383" i="1"/>
  <c r="AH383" i="1"/>
  <c r="AJ383" i="1"/>
  <c r="AK383" i="1"/>
  <c r="AL383" i="1"/>
  <c r="AO383" i="1"/>
  <c r="AP383" i="1"/>
  <c r="AV383" i="1"/>
  <c r="AW383" i="1"/>
  <c r="AX383" i="1"/>
  <c r="BC383" i="1"/>
  <c r="BD383" i="1"/>
  <c r="BF383" i="1"/>
  <c r="BH383" i="1"/>
  <c r="BI383" i="1"/>
  <c r="BJ383" i="1"/>
  <c r="J384" i="1"/>
  <c r="K384" i="1"/>
  <c r="L384" i="1"/>
  <c r="N384" i="1"/>
  <c r="Z384" i="1"/>
  <c r="AB384" i="1"/>
  <c r="AC384" i="1"/>
  <c r="AD384" i="1"/>
  <c r="AE384" i="1"/>
  <c r="AF384" i="1"/>
  <c r="AG384" i="1"/>
  <c r="AH384" i="1"/>
  <c r="AJ384" i="1"/>
  <c r="AK384" i="1"/>
  <c r="AL384" i="1"/>
  <c r="AO384" i="1"/>
  <c r="AP384" i="1"/>
  <c r="AV384" i="1"/>
  <c r="AW384" i="1"/>
  <c r="AX384" i="1"/>
  <c r="BC384" i="1"/>
  <c r="BD384" i="1"/>
  <c r="BF384" i="1"/>
  <c r="BH384" i="1"/>
  <c r="BI384" i="1"/>
  <c r="BJ384" i="1"/>
  <c r="J385" i="1"/>
  <c r="K385" i="1"/>
  <c r="L385" i="1"/>
  <c r="N385" i="1"/>
  <c r="Z385" i="1"/>
  <c r="AB385" i="1"/>
  <c r="AC385" i="1"/>
  <c r="AD385" i="1"/>
  <c r="AE385" i="1"/>
  <c r="AF385" i="1"/>
  <c r="AG385" i="1"/>
  <c r="AH385" i="1"/>
  <c r="AJ385" i="1"/>
  <c r="AK385" i="1"/>
  <c r="AL385" i="1"/>
  <c r="AO385" i="1"/>
  <c r="AP385" i="1"/>
  <c r="AV385" i="1"/>
  <c r="AW385" i="1"/>
  <c r="AX385" i="1"/>
  <c r="BC385" i="1"/>
  <c r="BD385" i="1"/>
  <c r="BF385" i="1"/>
  <c r="BH385" i="1"/>
  <c r="BI385" i="1"/>
  <c r="BJ385" i="1"/>
  <c r="J386" i="1"/>
  <c r="K386" i="1"/>
  <c r="L386" i="1"/>
  <c r="N386" i="1"/>
  <c r="Z386" i="1"/>
  <c r="AB386" i="1"/>
  <c r="AC386" i="1"/>
  <c r="AD386" i="1"/>
  <c r="AE386" i="1"/>
  <c r="AF386" i="1"/>
  <c r="AG386" i="1"/>
  <c r="AH386" i="1"/>
  <c r="AJ386" i="1"/>
  <c r="AK386" i="1"/>
  <c r="AL386" i="1"/>
  <c r="AO386" i="1"/>
  <c r="AP386" i="1"/>
  <c r="AV386" i="1"/>
  <c r="AW386" i="1"/>
  <c r="AX386" i="1"/>
  <c r="BC386" i="1"/>
  <c r="BD386" i="1"/>
  <c r="BF386" i="1"/>
  <c r="BH386" i="1"/>
  <c r="BI386" i="1"/>
  <c r="BJ386" i="1"/>
  <c r="J387" i="1"/>
  <c r="K387" i="1"/>
  <c r="L387" i="1"/>
  <c r="N387" i="1"/>
  <c r="Z387" i="1"/>
  <c r="AB387" i="1"/>
  <c r="AC387" i="1"/>
  <c r="AD387" i="1"/>
  <c r="AE387" i="1"/>
  <c r="AF387" i="1"/>
  <c r="AG387" i="1"/>
  <c r="AH387" i="1"/>
  <c r="AJ387" i="1"/>
  <c r="AK387" i="1"/>
  <c r="AL387" i="1"/>
  <c r="AO387" i="1"/>
  <c r="AP387" i="1"/>
  <c r="AV387" i="1"/>
  <c r="AW387" i="1"/>
  <c r="AX387" i="1"/>
  <c r="BC387" i="1"/>
  <c r="BD387" i="1"/>
  <c r="BF387" i="1"/>
  <c r="BH387" i="1"/>
  <c r="BI387" i="1"/>
  <c r="BJ387" i="1"/>
  <c r="J388" i="1"/>
  <c r="K388" i="1"/>
  <c r="L388" i="1"/>
  <c r="N388" i="1"/>
  <c r="Z388" i="1"/>
  <c r="AB388" i="1"/>
  <c r="AC388" i="1"/>
  <c r="AD388" i="1"/>
  <c r="AE388" i="1"/>
  <c r="AF388" i="1"/>
  <c r="AG388" i="1"/>
  <c r="AH388" i="1"/>
  <c r="AJ388" i="1"/>
  <c r="AK388" i="1"/>
  <c r="AL388" i="1"/>
  <c r="AO388" i="1"/>
  <c r="AP388" i="1"/>
  <c r="AV388" i="1"/>
  <c r="AW388" i="1"/>
  <c r="AX388" i="1"/>
  <c r="BC388" i="1"/>
  <c r="BD388" i="1"/>
  <c r="BF388" i="1"/>
  <c r="BH388" i="1"/>
  <c r="BI388" i="1"/>
  <c r="BJ388" i="1"/>
  <c r="J389" i="1"/>
  <c r="K389" i="1"/>
  <c r="L389" i="1"/>
  <c r="N389" i="1"/>
  <c r="Z389" i="1"/>
  <c r="AB389" i="1"/>
  <c r="AC389" i="1"/>
  <c r="AD389" i="1"/>
  <c r="AE389" i="1"/>
  <c r="AF389" i="1"/>
  <c r="AG389" i="1"/>
  <c r="AH389" i="1"/>
  <c r="AJ389" i="1"/>
  <c r="AK389" i="1"/>
  <c r="AL389" i="1"/>
  <c r="AO389" i="1"/>
  <c r="AP389" i="1"/>
  <c r="AV389" i="1"/>
  <c r="AW389" i="1"/>
  <c r="AX389" i="1"/>
  <c r="BC389" i="1"/>
  <c r="BD389" i="1"/>
  <c r="BF389" i="1"/>
  <c r="BH389" i="1"/>
  <c r="BI389" i="1"/>
  <c r="BJ389" i="1"/>
  <c r="J390" i="1"/>
  <c r="K390" i="1"/>
  <c r="L390" i="1"/>
  <c r="N390" i="1"/>
  <c r="Z390" i="1"/>
  <c r="AB390" i="1"/>
  <c r="AC390" i="1"/>
  <c r="AD390" i="1"/>
  <c r="AE390" i="1"/>
  <c r="AF390" i="1"/>
  <c r="AG390" i="1"/>
  <c r="AH390" i="1"/>
  <c r="AJ390" i="1"/>
  <c r="AK390" i="1"/>
  <c r="AL390" i="1"/>
  <c r="AO390" i="1"/>
  <c r="AP390" i="1"/>
  <c r="AV390" i="1"/>
  <c r="AW390" i="1"/>
  <c r="AX390" i="1"/>
  <c r="BC390" i="1"/>
  <c r="BD390" i="1"/>
  <c r="BF390" i="1"/>
  <c r="BH390" i="1"/>
  <c r="BI390" i="1"/>
  <c r="BJ390" i="1"/>
  <c r="J391" i="1"/>
  <c r="K391" i="1"/>
  <c r="L391" i="1"/>
  <c r="N391" i="1"/>
  <c r="Z391" i="1"/>
  <c r="AB391" i="1"/>
  <c r="AC391" i="1"/>
  <c r="AD391" i="1"/>
  <c r="AE391" i="1"/>
  <c r="AF391" i="1"/>
  <c r="AG391" i="1"/>
  <c r="AH391" i="1"/>
  <c r="AJ391" i="1"/>
  <c r="AK391" i="1"/>
  <c r="AL391" i="1"/>
  <c r="AO391" i="1"/>
  <c r="AP391" i="1"/>
  <c r="AV391" i="1"/>
  <c r="AW391" i="1"/>
  <c r="AX391" i="1"/>
  <c r="BC391" i="1"/>
  <c r="BD391" i="1"/>
  <c r="BF391" i="1"/>
  <c r="BH391" i="1"/>
  <c r="BI391" i="1"/>
  <c r="BJ391" i="1"/>
  <c r="J392" i="1"/>
  <c r="K392" i="1"/>
  <c r="L392" i="1"/>
  <c r="N392" i="1"/>
  <c r="Z392" i="1"/>
  <c r="AB392" i="1"/>
  <c r="AC392" i="1"/>
  <c r="AD392" i="1"/>
  <c r="AE392" i="1"/>
  <c r="AF392" i="1"/>
  <c r="AG392" i="1"/>
  <c r="AH392" i="1"/>
  <c r="AJ392" i="1"/>
  <c r="AK392" i="1"/>
  <c r="AL392" i="1"/>
  <c r="AO392" i="1"/>
  <c r="AP392" i="1"/>
  <c r="AV392" i="1"/>
  <c r="AW392" i="1"/>
  <c r="AX392" i="1"/>
  <c r="BC392" i="1"/>
  <c r="BD392" i="1"/>
  <c r="BF392" i="1"/>
  <c r="BH392" i="1"/>
  <c r="BI392" i="1"/>
  <c r="BJ392" i="1"/>
  <c r="J393" i="1"/>
  <c r="K393" i="1"/>
  <c r="L393" i="1"/>
  <c r="N393" i="1"/>
  <c r="Z393" i="1"/>
  <c r="AB393" i="1"/>
  <c r="AC393" i="1"/>
  <c r="AD393" i="1"/>
  <c r="AE393" i="1"/>
  <c r="AF393" i="1"/>
  <c r="AG393" i="1"/>
  <c r="AH393" i="1"/>
  <c r="AJ393" i="1"/>
  <c r="AK393" i="1"/>
  <c r="AL393" i="1"/>
  <c r="AO393" i="1"/>
  <c r="AP393" i="1"/>
  <c r="AV393" i="1"/>
  <c r="AW393" i="1"/>
  <c r="AX393" i="1"/>
  <c r="BC393" i="1"/>
  <c r="BD393" i="1"/>
  <c r="BF393" i="1"/>
  <c r="BH393" i="1"/>
  <c r="BI393" i="1"/>
  <c r="BJ393" i="1"/>
  <c r="J394" i="1"/>
  <c r="K394" i="1"/>
  <c r="L394" i="1"/>
  <c r="N394" i="1"/>
  <c r="Z394" i="1"/>
  <c r="AB394" i="1"/>
  <c r="AC394" i="1"/>
  <c r="AD394" i="1"/>
  <c r="AE394" i="1"/>
  <c r="AF394" i="1"/>
  <c r="AG394" i="1"/>
  <c r="AH394" i="1"/>
  <c r="AJ394" i="1"/>
  <c r="AK394" i="1"/>
  <c r="AL394" i="1"/>
  <c r="AO394" i="1"/>
  <c r="AP394" i="1"/>
  <c r="AV394" i="1"/>
  <c r="AW394" i="1"/>
  <c r="AX394" i="1"/>
  <c r="BC394" i="1"/>
  <c r="BD394" i="1"/>
  <c r="BF394" i="1"/>
  <c r="BH394" i="1"/>
  <c r="BI394" i="1"/>
  <c r="BJ394" i="1"/>
  <c r="J395" i="1"/>
  <c r="K395" i="1"/>
  <c r="L395" i="1"/>
  <c r="N395" i="1"/>
  <c r="Z395" i="1"/>
  <c r="AB395" i="1"/>
  <c r="AC395" i="1"/>
  <c r="AD395" i="1"/>
  <c r="AE395" i="1"/>
  <c r="AF395" i="1"/>
  <c r="AG395" i="1"/>
  <c r="AH395" i="1"/>
  <c r="AJ395" i="1"/>
  <c r="AK395" i="1"/>
  <c r="AL395" i="1"/>
  <c r="AO395" i="1"/>
  <c r="AP395" i="1"/>
  <c r="AV395" i="1"/>
  <c r="AW395" i="1"/>
  <c r="AX395" i="1"/>
  <c r="BC395" i="1"/>
  <c r="BD395" i="1"/>
  <c r="BF395" i="1"/>
  <c r="BH395" i="1"/>
  <c r="BI395" i="1"/>
  <c r="BJ395" i="1"/>
  <c r="J396" i="1"/>
  <c r="K396" i="1"/>
  <c r="L396" i="1"/>
  <c r="N396" i="1"/>
  <c r="Z396" i="1"/>
  <c r="AB396" i="1"/>
  <c r="AC396" i="1"/>
  <c r="AD396" i="1"/>
  <c r="AE396" i="1"/>
  <c r="AF396" i="1"/>
  <c r="AG396" i="1"/>
  <c r="AH396" i="1"/>
  <c r="AJ396" i="1"/>
  <c r="AK396" i="1"/>
  <c r="AL396" i="1"/>
  <c r="AO396" i="1"/>
  <c r="AP396" i="1"/>
  <c r="AV396" i="1"/>
  <c r="AW396" i="1"/>
  <c r="AX396" i="1"/>
  <c r="BC396" i="1"/>
  <c r="BD396" i="1"/>
  <c r="BF396" i="1"/>
  <c r="BH396" i="1"/>
  <c r="BI396" i="1"/>
  <c r="BJ396" i="1"/>
  <c r="J397" i="1"/>
  <c r="K397" i="1"/>
  <c r="L397" i="1"/>
  <c r="N397" i="1"/>
  <c r="Z397" i="1"/>
  <c r="AB397" i="1"/>
  <c r="AC397" i="1"/>
  <c r="AD397" i="1"/>
  <c r="AE397" i="1"/>
  <c r="AF397" i="1"/>
  <c r="AG397" i="1"/>
  <c r="AH397" i="1"/>
  <c r="AJ397" i="1"/>
  <c r="AK397" i="1"/>
  <c r="AL397" i="1"/>
  <c r="AO397" i="1"/>
  <c r="AP397" i="1"/>
  <c r="AV397" i="1"/>
  <c r="AW397" i="1"/>
  <c r="AX397" i="1"/>
  <c r="BC397" i="1"/>
  <c r="BD397" i="1"/>
  <c r="BF397" i="1"/>
  <c r="BH397" i="1"/>
  <c r="BI397" i="1"/>
  <c r="BJ397" i="1"/>
  <c r="J398" i="1"/>
  <c r="K398" i="1"/>
  <c r="L398" i="1"/>
  <c r="N398" i="1"/>
  <c r="Z398" i="1"/>
  <c r="AB398" i="1"/>
  <c r="AC398" i="1"/>
  <c r="AD398" i="1"/>
  <c r="AE398" i="1"/>
  <c r="AF398" i="1"/>
  <c r="AG398" i="1"/>
  <c r="AH398" i="1"/>
  <c r="AJ398" i="1"/>
  <c r="AK398" i="1"/>
  <c r="AL398" i="1"/>
  <c r="AO398" i="1"/>
  <c r="AP398" i="1"/>
  <c r="AV398" i="1"/>
  <c r="AW398" i="1"/>
  <c r="AX398" i="1"/>
  <c r="BC398" i="1"/>
  <c r="BD398" i="1"/>
  <c r="BF398" i="1"/>
  <c r="BH398" i="1"/>
  <c r="BI398" i="1"/>
  <c r="BJ398" i="1"/>
  <c r="J399" i="1"/>
  <c r="K399" i="1"/>
  <c r="L399" i="1"/>
  <c r="N399" i="1"/>
  <c r="Z399" i="1"/>
  <c r="AB399" i="1"/>
  <c r="AC399" i="1"/>
  <c r="AD399" i="1"/>
  <c r="AE399" i="1"/>
  <c r="AF399" i="1"/>
  <c r="AG399" i="1"/>
  <c r="AH399" i="1"/>
  <c r="AJ399" i="1"/>
  <c r="AK399" i="1"/>
  <c r="AL399" i="1"/>
  <c r="AO399" i="1"/>
  <c r="AP399" i="1"/>
  <c r="AV399" i="1"/>
  <c r="AW399" i="1"/>
  <c r="AX399" i="1"/>
  <c r="BC399" i="1"/>
  <c r="BD399" i="1"/>
  <c r="BF399" i="1"/>
  <c r="BH399" i="1"/>
  <c r="BI399" i="1"/>
  <c r="BJ399" i="1"/>
  <c r="J401" i="1"/>
  <c r="K401" i="1"/>
  <c r="L401" i="1"/>
  <c r="N401" i="1"/>
  <c r="Z401" i="1"/>
  <c r="AB401" i="1"/>
  <c r="AC401" i="1"/>
  <c r="AD401" i="1"/>
  <c r="AE401" i="1"/>
  <c r="AF401" i="1"/>
  <c r="AG401" i="1"/>
  <c r="AH401" i="1"/>
  <c r="AJ401" i="1"/>
  <c r="AK401" i="1"/>
  <c r="AL401" i="1"/>
  <c r="AO401" i="1"/>
  <c r="AP401" i="1"/>
  <c r="AV401" i="1"/>
  <c r="AW401" i="1"/>
  <c r="AX401" i="1"/>
  <c r="BC401" i="1"/>
  <c r="BD401" i="1"/>
  <c r="BF401" i="1"/>
  <c r="BH401" i="1"/>
  <c r="BI401" i="1"/>
  <c r="BJ401" i="1"/>
  <c r="J402" i="1"/>
  <c r="K402" i="1"/>
  <c r="L402" i="1"/>
  <c r="N402" i="1"/>
  <c r="Z402" i="1"/>
  <c r="AB402" i="1"/>
  <c r="AC402" i="1"/>
  <c r="AD402" i="1"/>
  <c r="AE402" i="1"/>
  <c r="AF402" i="1"/>
  <c r="AG402" i="1"/>
  <c r="AH402" i="1"/>
  <c r="AJ402" i="1"/>
  <c r="AK402" i="1"/>
  <c r="AL402" i="1"/>
  <c r="AO402" i="1"/>
  <c r="AP402" i="1"/>
  <c r="AV402" i="1"/>
  <c r="AW402" i="1"/>
  <c r="AX402" i="1"/>
  <c r="BC402" i="1"/>
  <c r="BD402" i="1"/>
  <c r="BF402" i="1"/>
  <c r="BH402" i="1"/>
  <c r="BI402" i="1"/>
  <c r="BJ402" i="1"/>
  <c r="J403" i="1"/>
  <c r="K403" i="1"/>
  <c r="L403" i="1"/>
  <c r="N403" i="1"/>
  <c r="Z403" i="1"/>
  <c r="AB403" i="1"/>
  <c r="AC403" i="1"/>
  <c r="AD403" i="1"/>
  <c r="AE403" i="1"/>
  <c r="AF403" i="1"/>
  <c r="AG403" i="1"/>
  <c r="AH403" i="1"/>
  <c r="AJ403" i="1"/>
  <c r="AK403" i="1"/>
  <c r="AL403" i="1"/>
  <c r="AO403" i="1"/>
  <c r="AP403" i="1"/>
  <c r="AV403" i="1"/>
  <c r="AW403" i="1"/>
  <c r="AX403" i="1"/>
  <c r="BC403" i="1"/>
  <c r="BD403" i="1"/>
  <c r="BF403" i="1"/>
  <c r="BH403" i="1"/>
  <c r="BI403" i="1"/>
  <c r="BJ403" i="1"/>
  <c r="J404" i="1"/>
  <c r="K404" i="1"/>
  <c r="L404" i="1"/>
  <c r="N404" i="1"/>
  <c r="Z404" i="1"/>
  <c r="AB404" i="1"/>
  <c r="AC404" i="1"/>
  <c r="AD404" i="1"/>
  <c r="AE404" i="1"/>
  <c r="AF404" i="1"/>
  <c r="AG404" i="1"/>
  <c r="AH404" i="1"/>
  <c r="AJ404" i="1"/>
  <c r="AK404" i="1"/>
  <c r="AL404" i="1"/>
  <c r="AO404" i="1"/>
  <c r="AP404" i="1"/>
  <c r="AV404" i="1"/>
  <c r="AW404" i="1"/>
  <c r="AX404" i="1"/>
  <c r="BC404" i="1"/>
  <c r="BD404" i="1"/>
  <c r="BF404" i="1"/>
  <c r="BH404" i="1"/>
  <c r="BI404" i="1"/>
  <c r="BJ404" i="1"/>
  <c r="J405" i="1"/>
  <c r="K405" i="1"/>
  <c r="L405" i="1"/>
  <c r="N405" i="1"/>
  <c r="Z405" i="1"/>
  <c r="AB405" i="1"/>
  <c r="AC405" i="1"/>
  <c r="AD405" i="1"/>
  <c r="AE405" i="1"/>
  <c r="AF405" i="1"/>
  <c r="AG405" i="1"/>
  <c r="AH405" i="1"/>
  <c r="AJ405" i="1"/>
  <c r="AK405" i="1"/>
  <c r="AL405" i="1"/>
  <c r="AO405" i="1"/>
  <c r="AP405" i="1"/>
  <c r="AV405" i="1"/>
  <c r="AW405" i="1"/>
  <c r="AX405" i="1"/>
  <c r="BC405" i="1"/>
  <c r="BD405" i="1"/>
  <c r="BF405" i="1"/>
  <c r="BH405" i="1"/>
  <c r="BI405" i="1"/>
  <c r="BJ405" i="1"/>
  <c r="J406" i="1"/>
  <c r="K406" i="1"/>
  <c r="L406" i="1"/>
  <c r="N406" i="1"/>
  <c r="Z406" i="1"/>
  <c r="AB406" i="1"/>
  <c r="AC406" i="1"/>
  <c r="AD406" i="1"/>
  <c r="AE406" i="1"/>
  <c r="AF406" i="1"/>
  <c r="AG406" i="1"/>
  <c r="AH406" i="1"/>
  <c r="AJ406" i="1"/>
  <c r="AK406" i="1"/>
  <c r="AL406" i="1"/>
  <c r="AO406" i="1"/>
  <c r="AP406" i="1"/>
  <c r="AV406" i="1"/>
  <c r="AW406" i="1"/>
  <c r="AX406" i="1"/>
  <c r="BC406" i="1"/>
  <c r="BD406" i="1"/>
  <c r="BF406" i="1"/>
  <c r="BH406" i="1"/>
  <c r="BI406" i="1"/>
  <c r="BJ406" i="1"/>
  <c r="J407" i="1"/>
  <c r="K407" i="1"/>
  <c r="L407" i="1"/>
  <c r="N407" i="1"/>
  <c r="Z407" i="1"/>
  <c r="AB407" i="1"/>
  <c r="AC407" i="1"/>
  <c r="AD407" i="1"/>
  <c r="AE407" i="1"/>
  <c r="AF407" i="1"/>
  <c r="AG407" i="1"/>
  <c r="AH407" i="1"/>
  <c r="AJ407" i="1"/>
  <c r="AK407" i="1"/>
  <c r="AL407" i="1"/>
  <c r="AO407" i="1"/>
  <c r="AP407" i="1"/>
  <c r="AV407" i="1"/>
  <c r="AW407" i="1"/>
  <c r="AX407" i="1"/>
  <c r="BC407" i="1"/>
  <c r="BD407" i="1"/>
  <c r="BF407" i="1"/>
  <c r="BH407" i="1"/>
  <c r="BI407" i="1"/>
  <c r="BJ407" i="1"/>
  <c r="J408" i="1"/>
  <c r="K408" i="1"/>
  <c r="L408" i="1"/>
  <c r="N408" i="1"/>
  <c r="Z408" i="1"/>
  <c r="AB408" i="1"/>
  <c r="AC408" i="1"/>
  <c r="AD408" i="1"/>
  <c r="AE408" i="1"/>
  <c r="AF408" i="1"/>
  <c r="AG408" i="1"/>
  <c r="AH408" i="1"/>
  <c r="AJ408" i="1"/>
  <c r="AK408" i="1"/>
  <c r="AL408" i="1"/>
  <c r="AO408" i="1"/>
  <c r="AP408" i="1"/>
  <c r="AV408" i="1"/>
  <c r="AW408" i="1"/>
  <c r="AX408" i="1"/>
  <c r="BC408" i="1"/>
  <c r="BD408" i="1"/>
  <c r="BF408" i="1"/>
  <c r="BH408" i="1"/>
  <c r="BI408" i="1"/>
  <c r="BJ408" i="1"/>
  <c r="J410" i="1"/>
  <c r="K410" i="1"/>
  <c r="L410" i="1"/>
  <c r="N410" i="1"/>
  <c r="Z410" i="1"/>
  <c r="AB410" i="1"/>
  <c r="AC410" i="1"/>
  <c r="AD410" i="1"/>
  <c r="AE410" i="1"/>
  <c r="AF410" i="1"/>
  <c r="AG410" i="1"/>
  <c r="AH410" i="1"/>
  <c r="AJ410" i="1"/>
  <c r="AK410" i="1"/>
  <c r="AL410" i="1"/>
  <c r="AO410" i="1"/>
  <c r="AP410" i="1"/>
  <c r="AV410" i="1"/>
  <c r="AW410" i="1"/>
  <c r="AX410" i="1"/>
  <c r="BC410" i="1"/>
  <c r="BD410" i="1"/>
  <c r="BF410" i="1"/>
  <c r="BH410" i="1"/>
  <c r="BI410" i="1"/>
  <c r="BJ410" i="1"/>
  <c r="J411" i="1"/>
  <c r="K411" i="1"/>
  <c r="L411" i="1"/>
  <c r="N411" i="1"/>
  <c r="Z411" i="1"/>
  <c r="AB411" i="1"/>
  <c r="AC411" i="1"/>
  <c r="AD411" i="1"/>
  <c r="AE411" i="1"/>
  <c r="AF411" i="1"/>
  <c r="AG411" i="1"/>
  <c r="AH411" i="1"/>
  <c r="AJ411" i="1"/>
  <c r="AK411" i="1"/>
  <c r="AL411" i="1"/>
  <c r="AO411" i="1"/>
  <c r="AP411" i="1"/>
  <c r="AV411" i="1"/>
  <c r="AW411" i="1"/>
  <c r="AX411" i="1"/>
  <c r="BC411" i="1"/>
  <c r="BD411" i="1"/>
  <c r="BF411" i="1"/>
  <c r="BH411" i="1"/>
  <c r="BI411" i="1"/>
  <c r="BJ411" i="1"/>
  <c r="J413" i="1"/>
  <c r="K413" i="1"/>
  <c r="L413" i="1"/>
  <c r="N413" i="1"/>
  <c r="Z413" i="1"/>
  <c r="AB413" i="1"/>
  <c r="AC413" i="1"/>
  <c r="AD413" i="1"/>
  <c r="AE413" i="1"/>
  <c r="AF413" i="1"/>
  <c r="AG413" i="1"/>
  <c r="AH413" i="1"/>
  <c r="AJ413" i="1"/>
  <c r="AK413" i="1"/>
  <c r="AL413" i="1"/>
  <c r="AO413" i="1"/>
  <c r="AP413" i="1"/>
  <c r="AV413" i="1"/>
  <c r="AW413" i="1"/>
  <c r="AX413" i="1"/>
  <c r="BC413" i="1"/>
  <c r="BD413" i="1"/>
  <c r="BF413" i="1"/>
  <c r="BH413" i="1"/>
  <c r="BI413" i="1"/>
  <c r="BJ413" i="1"/>
  <c r="J414" i="1"/>
  <c r="K414" i="1"/>
  <c r="L414" i="1"/>
  <c r="N414" i="1"/>
  <c r="Z414" i="1"/>
  <c r="AB414" i="1"/>
  <c r="AC414" i="1"/>
  <c r="AD414" i="1"/>
  <c r="AE414" i="1"/>
  <c r="AF414" i="1"/>
  <c r="AG414" i="1"/>
  <c r="AH414" i="1"/>
  <c r="AJ414" i="1"/>
  <c r="AK414" i="1"/>
  <c r="AL414" i="1"/>
  <c r="AO414" i="1"/>
  <c r="AP414" i="1"/>
  <c r="AV414" i="1"/>
  <c r="AW414" i="1"/>
  <c r="AX414" i="1"/>
  <c r="BC414" i="1"/>
  <c r="BD414" i="1"/>
  <c r="BF414" i="1"/>
  <c r="BH414" i="1"/>
  <c r="BI414" i="1"/>
  <c r="BJ414" i="1"/>
  <c r="J415" i="1"/>
  <c r="K415" i="1"/>
  <c r="L415" i="1"/>
  <c r="N415" i="1"/>
  <c r="Z415" i="1"/>
  <c r="AB415" i="1"/>
  <c r="AC415" i="1"/>
  <c r="AD415" i="1"/>
  <c r="AE415" i="1"/>
  <c r="AF415" i="1"/>
  <c r="AG415" i="1"/>
  <c r="AH415" i="1"/>
  <c r="AJ415" i="1"/>
  <c r="AK415" i="1"/>
  <c r="AL415" i="1"/>
  <c r="AO415" i="1"/>
  <c r="AP415" i="1"/>
  <c r="AV415" i="1"/>
  <c r="AW415" i="1"/>
  <c r="AX415" i="1"/>
  <c r="BC415" i="1"/>
  <c r="BD415" i="1"/>
  <c r="BF415" i="1"/>
  <c r="BH415" i="1"/>
  <c r="BI415" i="1"/>
  <c r="BJ415" i="1"/>
  <c r="J416" i="1"/>
  <c r="K416" i="1"/>
  <c r="L416" i="1"/>
  <c r="N416" i="1"/>
  <c r="Z416" i="1"/>
  <c r="AB416" i="1"/>
  <c r="AC416" i="1"/>
  <c r="AD416" i="1"/>
  <c r="AE416" i="1"/>
  <c r="AF416" i="1"/>
  <c r="AG416" i="1"/>
  <c r="AH416" i="1"/>
  <c r="AJ416" i="1"/>
  <c r="AK416" i="1"/>
  <c r="AL416" i="1"/>
  <c r="AO416" i="1"/>
  <c r="AP416" i="1"/>
  <c r="AV416" i="1"/>
  <c r="AW416" i="1"/>
  <c r="AX416" i="1"/>
  <c r="BC416" i="1"/>
  <c r="BD416" i="1"/>
  <c r="BF416" i="1"/>
  <c r="BH416" i="1"/>
  <c r="BI416" i="1"/>
  <c r="BJ416" i="1"/>
  <c r="J417" i="1"/>
  <c r="K417" i="1"/>
  <c r="L417" i="1"/>
  <c r="N417" i="1"/>
  <c r="Z417" i="1"/>
  <c r="AB417" i="1"/>
  <c r="AC417" i="1"/>
  <c r="AD417" i="1"/>
  <c r="AE417" i="1"/>
  <c r="AF417" i="1"/>
  <c r="AG417" i="1"/>
  <c r="AH417" i="1"/>
  <c r="AJ417" i="1"/>
  <c r="AK417" i="1"/>
  <c r="AL417" i="1"/>
  <c r="AO417" i="1"/>
  <c r="AP417" i="1"/>
  <c r="AV417" i="1"/>
  <c r="AW417" i="1"/>
  <c r="AX417" i="1"/>
  <c r="BC417" i="1"/>
  <c r="BD417" i="1"/>
  <c r="BF417" i="1"/>
  <c r="BH417" i="1"/>
  <c r="BI417" i="1"/>
  <c r="BJ417" i="1"/>
  <c r="J418" i="1"/>
  <c r="K418" i="1"/>
  <c r="L418" i="1"/>
  <c r="N418" i="1"/>
  <c r="Z418" i="1"/>
  <c r="AB418" i="1"/>
  <c r="AC418" i="1"/>
  <c r="AD418" i="1"/>
  <c r="AE418" i="1"/>
  <c r="AF418" i="1"/>
  <c r="AG418" i="1"/>
  <c r="AH418" i="1"/>
  <c r="AJ418" i="1"/>
  <c r="AK418" i="1"/>
  <c r="AL418" i="1"/>
  <c r="AO418" i="1"/>
  <c r="AP418" i="1"/>
  <c r="AV418" i="1"/>
  <c r="AW418" i="1"/>
  <c r="AX418" i="1"/>
  <c r="BC418" i="1"/>
  <c r="BD418" i="1"/>
  <c r="BF418" i="1"/>
  <c r="BH418" i="1"/>
  <c r="BI418" i="1"/>
  <c r="BJ418" i="1"/>
  <c r="J419" i="1"/>
  <c r="K419" i="1"/>
  <c r="L419" i="1"/>
  <c r="N419" i="1"/>
  <c r="AS419" i="1"/>
  <c r="AT419" i="1"/>
  <c r="AU419" i="1"/>
  <c r="J420" i="1"/>
  <c r="K420" i="1"/>
  <c r="L420" i="1"/>
  <c r="N420" i="1"/>
  <c r="Z420" i="1"/>
  <c r="AB420" i="1"/>
  <c r="AC420" i="1"/>
  <c r="AD420" i="1"/>
  <c r="AE420" i="1"/>
  <c r="AF420" i="1"/>
  <c r="AG420" i="1"/>
  <c r="AH420" i="1"/>
  <c r="AJ420" i="1"/>
  <c r="AK420" i="1"/>
  <c r="AL420" i="1"/>
  <c r="AO420" i="1"/>
  <c r="AP420" i="1"/>
  <c r="AV420" i="1"/>
  <c r="AW420" i="1"/>
  <c r="AX420" i="1"/>
  <c r="BC420" i="1"/>
  <c r="BD420" i="1"/>
  <c r="BF420" i="1"/>
  <c r="BH420" i="1"/>
  <c r="BI420" i="1"/>
  <c r="BJ420" i="1"/>
  <c r="J421" i="1"/>
  <c r="K421" i="1"/>
  <c r="L421" i="1"/>
  <c r="N421" i="1"/>
  <c r="Z421" i="1"/>
  <c r="AB421" i="1"/>
  <c r="AC421" i="1"/>
  <c r="AD421" i="1"/>
  <c r="AE421" i="1"/>
  <c r="AF421" i="1"/>
  <c r="AG421" i="1"/>
  <c r="AH421" i="1"/>
  <c r="AJ421" i="1"/>
  <c r="AK421" i="1"/>
  <c r="AL421" i="1"/>
  <c r="AO421" i="1"/>
  <c r="AP421" i="1"/>
  <c r="AV421" i="1"/>
  <c r="AW421" i="1"/>
  <c r="AX421" i="1"/>
  <c r="BC421" i="1"/>
  <c r="BD421" i="1"/>
  <c r="BF421" i="1"/>
  <c r="BH421" i="1"/>
  <c r="BI421" i="1"/>
  <c r="BJ421" i="1"/>
  <c r="J422" i="1"/>
  <c r="K422" i="1"/>
  <c r="L422" i="1"/>
  <c r="N422" i="1"/>
  <c r="Z422" i="1"/>
  <c r="AB422" i="1"/>
  <c r="AC422" i="1"/>
  <c r="AD422" i="1"/>
  <c r="AE422" i="1"/>
  <c r="AF422" i="1"/>
  <c r="AG422" i="1"/>
  <c r="AH422" i="1"/>
  <c r="AJ422" i="1"/>
  <c r="AK422" i="1"/>
  <c r="AL422" i="1"/>
  <c r="AO422" i="1"/>
  <c r="AP422" i="1"/>
  <c r="AV422" i="1"/>
  <c r="AW422" i="1"/>
  <c r="AX422" i="1"/>
  <c r="BC422" i="1"/>
  <c r="BD422" i="1"/>
  <c r="BF422" i="1"/>
  <c r="BH422" i="1"/>
  <c r="BI422" i="1"/>
  <c r="BJ422" i="1"/>
  <c r="J423" i="1"/>
  <c r="K423" i="1"/>
  <c r="L423" i="1"/>
  <c r="N423" i="1"/>
  <c r="Z423" i="1"/>
  <c r="AB423" i="1"/>
  <c r="AC423" i="1"/>
  <c r="AD423" i="1"/>
  <c r="AE423" i="1"/>
  <c r="AF423" i="1"/>
  <c r="AG423" i="1"/>
  <c r="AH423" i="1"/>
  <c r="AJ423" i="1"/>
  <c r="AK423" i="1"/>
  <c r="AL423" i="1"/>
  <c r="AO423" i="1"/>
  <c r="AP423" i="1"/>
  <c r="AV423" i="1"/>
  <c r="AW423" i="1"/>
  <c r="AX423" i="1"/>
  <c r="BC423" i="1"/>
  <c r="BD423" i="1"/>
  <c r="BF423" i="1"/>
  <c r="BH423" i="1"/>
  <c r="BI423" i="1"/>
  <c r="BJ423" i="1"/>
  <c r="J424" i="1"/>
  <c r="K424" i="1"/>
  <c r="L424" i="1"/>
  <c r="N424" i="1"/>
  <c r="Z424" i="1"/>
  <c r="AB424" i="1"/>
  <c r="AC424" i="1"/>
  <c r="AD424" i="1"/>
  <c r="AE424" i="1"/>
  <c r="AF424" i="1"/>
  <c r="AG424" i="1"/>
  <c r="AH424" i="1"/>
  <c r="AJ424" i="1"/>
  <c r="AK424" i="1"/>
  <c r="AL424" i="1"/>
  <c r="AO424" i="1"/>
  <c r="AP424" i="1"/>
  <c r="AV424" i="1"/>
  <c r="AW424" i="1"/>
  <c r="AX424" i="1"/>
  <c r="BC424" i="1"/>
  <c r="BD424" i="1"/>
  <c r="BF424" i="1"/>
  <c r="BH424" i="1"/>
  <c r="BI424" i="1"/>
  <c r="BJ424" i="1"/>
  <c r="J425" i="1"/>
  <c r="K425" i="1"/>
  <c r="L425" i="1"/>
  <c r="N425" i="1"/>
  <c r="Z425" i="1"/>
  <c r="AB425" i="1"/>
  <c r="AC425" i="1"/>
  <c r="AD425" i="1"/>
  <c r="AE425" i="1"/>
  <c r="AF425" i="1"/>
  <c r="AG425" i="1"/>
  <c r="AH425" i="1"/>
  <c r="AJ425" i="1"/>
  <c r="AK425" i="1"/>
  <c r="AL425" i="1"/>
  <c r="AO425" i="1"/>
  <c r="AP425" i="1"/>
  <c r="AV425" i="1"/>
  <c r="AW425" i="1"/>
  <c r="AX425" i="1"/>
  <c r="BC425" i="1"/>
  <c r="BD425" i="1"/>
  <c r="BF425" i="1"/>
  <c r="BH425" i="1"/>
  <c r="BI425" i="1"/>
  <c r="BJ425" i="1"/>
  <c r="J426" i="1"/>
  <c r="K426" i="1"/>
  <c r="L426" i="1"/>
  <c r="N426" i="1"/>
  <c r="Z426" i="1"/>
  <c r="AB426" i="1"/>
  <c r="AC426" i="1"/>
  <c r="AD426" i="1"/>
  <c r="AE426" i="1"/>
  <c r="AF426" i="1"/>
  <c r="AG426" i="1"/>
  <c r="AH426" i="1"/>
  <c r="AJ426" i="1"/>
  <c r="AK426" i="1"/>
  <c r="AL426" i="1"/>
  <c r="AO426" i="1"/>
  <c r="AP426" i="1"/>
  <c r="AV426" i="1"/>
  <c r="AW426" i="1"/>
  <c r="AX426" i="1"/>
  <c r="BC426" i="1"/>
  <c r="BD426" i="1"/>
  <c r="BF426" i="1"/>
  <c r="BH426" i="1"/>
  <c r="BI426" i="1"/>
  <c r="BJ426" i="1"/>
  <c r="J427" i="1"/>
  <c r="K427" i="1"/>
  <c r="L427" i="1"/>
  <c r="N427" i="1"/>
  <c r="Z427" i="1"/>
  <c r="AB427" i="1"/>
  <c r="AC427" i="1"/>
  <c r="AD427" i="1"/>
  <c r="AE427" i="1"/>
  <c r="AF427" i="1"/>
  <c r="AG427" i="1"/>
  <c r="AH427" i="1"/>
  <c r="AJ427" i="1"/>
  <c r="AK427" i="1"/>
  <c r="AL427" i="1"/>
  <c r="AO427" i="1"/>
  <c r="AP427" i="1"/>
  <c r="AV427" i="1"/>
  <c r="AW427" i="1"/>
  <c r="AX427" i="1"/>
  <c r="BC427" i="1"/>
  <c r="BD427" i="1"/>
  <c r="BF427" i="1"/>
  <c r="BH427" i="1"/>
  <c r="BI427" i="1"/>
  <c r="BJ427" i="1"/>
  <c r="J428" i="1"/>
  <c r="K428" i="1"/>
  <c r="L428" i="1"/>
  <c r="N428" i="1"/>
  <c r="Z428" i="1"/>
  <c r="AB428" i="1"/>
  <c r="AC428" i="1"/>
  <c r="AD428" i="1"/>
  <c r="AE428" i="1"/>
  <c r="AF428" i="1"/>
  <c r="AG428" i="1"/>
  <c r="AH428" i="1"/>
  <c r="AJ428" i="1"/>
  <c r="AK428" i="1"/>
  <c r="AL428" i="1"/>
  <c r="AO428" i="1"/>
  <c r="AP428" i="1"/>
  <c r="AV428" i="1"/>
  <c r="AW428" i="1"/>
  <c r="AX428" i="1"/>
  <c r="BC428" i="1"/>
  <c r="BD428" i="1"/>
  <c r="BF428" i="1"/>
  <c r="BH428" i="1"/>
  <c r="BI428" i="1"/>
  <c r="BJ428" i="1"/>
  <c r="J430" i="1"/>
  <c r="K430" i="1"/>
  <c r="L430" i="1"/>
  <c r="N430" i="1"/>
  <c r="Z430" i="1"/>
  <c r="AB430" i="1"/>
  <c r="AC430" i="1"/>
  <c r="AD430" i="1"/>
  <c r="AE430" i="1"/>
  <c r="AF430" i="1"/>
  <c r="AG430" i="1"/>
  <c r="AH430" i="1"/>
  <c r="AJ430" i="1"/>
  <c r="AK430" i="1"/>
  <c r="AL430" i="1"/>
  <c r="AO430" i="1"/>
  <c r="AP430" i="1"/>
  <c r="AV430" i="1"/>
  <c r="AW430" i="1"/>
  <c r="AX430" i="1"/>
  <c r="BC430" i="1"/>
  <c r="BD430" i="1"/>
  <c r="BF430" i="1"/>
  <c r="BH430" i="1"/>
  <c r="BI430" i="1"/>
  <c r="BJ430" i="1"/>
  <c r="J432" i="1"/>
  <c r="K432" i="1"/>
  <c r="L432" i="1"/>
  <c r="N432" i="1"/>
  <c r="Z432" i="1"/>
  <c r="AB432" i="1"/>
  <c r="AC432" i="1"/>
  <c r="AD432" i="1"/>
  <c r="AE432" i="1"/>
  <c r="AF432" i="1"/>
  <c r="AG432" i="1"/>
  <c r="AH432" i="1"/>
  <c r="AJ432" i="1"/>
  <c r="AK432" i="1"/>
  <c r="AL432" i="1"/>
  <c r="AO432" i="1"/>
  <c r="AP432" i="1"/>
  <c r="AV432" i="1"/>
  <c r="AW432" i="1"/>
  <c r="AX432" i="1"/>
  <c r="BC432" i="1"/>
  <c r="BD432" i="1"/>
  <c r="BF432" i="1"/>
  <c r="BH432" i="1"/>
  <c r="BI432" i="1"/>
  <c r="BJ432" i="1"/>
  <c r="J433" i="1"/>
  <c r="K433" i="1"/>
  <c r="L433" i="1"/>
  <c r="N433" i="1"/>
  <c r="Z433" i="1"/>
  <c r="AB433" i="1"/>
  <c r="AC433" i="1"/>
  <c r="AD433" i="1"/>
  <c r="AE433" i="1"/>
  <c r="AF433" i="1"/>
  <c r="AG433" i="1"/>
  <c r="AH433" i="1"/>
  <c r="AJ433" i="1"/>
  <c r="AK433" i="1"/>
  <c r="AL433" i="1"/>
  <c r="AO433" i="1"/>
  <c r="AP433" i="1"/>
  <c r="AV433" i="1"/>
  <c r="AW433" i="1"/>
  <c r="AX433" i="1"/>
  <c r="BC433" i="1"/>
  <c r="BD433" i="1"/>
  <c r="BF433" i="1"/>
  <c r="BH433" i="1"/>
  <c r="BI433" i="1"/>
  <c r="BJ433" i="1"/>
  <c r="J434" i="1"/>
  <c r="K434" i="1"/>
  <c r="L434" i="1"/>
  <c r="N434" i="1"/>
  <c r="Z434" i="1"/>
  <c r="AB434" i="1"/>
  <c r="AC434" i="1"/>
  <c r="AD434" i="1"/>
  <c r="AE434" i="1"/>
  <c r="AF434" i="1"/>
  <c r="AG434" i="1"/>
  <c r="AH434" i="1"/>
  <c r="AJ434" i="1"/>
  <c r="AK434" i="1"/>
  <c r="AL434" i="1"/>
  <c r="AO434" i="1"/>
  <c r="AP434" i="1"/>
  <c r="AV434" i="1"/>
  <c r="AW434" i="1"/>
  <c r="AX434" i="1"/>
  <c r="BC434" i="1"/>
  <c r="BD434" i="1"/>
  <c r="BF434" i="1"/>
  <c r="BH434" i="1"/>
  <c r="BI434" i="1"/>
  <c r="BJ434" i="1"/>
  <c r="J435" i="1"/>
  <c r="K435" i="1"/>
  <c r="L435" i="1"/>
  <c r="N435" i="1"/>
  <c r="Z435" i="1"/>
  <c r="AB435" i="1"/>
  <c r="AC435" i="1"/>
  <c r="AD435" i="1"/>
  <c r="AE435" i="1"/>
  <c r="AF435" i="1"/>
  <c r="AG435" i="1"/>
  <c r="AH435" i="1"/>
  <c r="AJ435" i="1"/>
  <c r="AK435" i="1"/>
  <c r="AL435" i="1"/>
  <c r="AO435" i="1"/>
  <c r="AP435" i="1"/>
  <c r="AV435" i="1"/>
  <c r="AW435" i="1"/>
  <c r="AX435" i="1"/>
  <c r="BC435" i="1"/>
  <c r="BD435" i="1"/>
  <c r="BF435" i="1"/>
  <c r="BH435" i="1"/>
  <c r="BI435" i="1"/>
  <c r="BJ435" i="1"/>
  <c r="J436" i="1"/>
  <c r="K436" i="1"/>
  <c r="L436" i="1"/>
  <c r="N436" i="1"/>
  <c r="AS436" i="1"/>
  <c r="AT436" i="1"/>
  <c r="AU436" i="1"/>
  <c r="J437" i="1"/>
  <c r="K437" i="1"/>
  <c r="L437" i="1"/>
  <c r="N437" i="1"/>
  <c r="Z437" i="1"/>
  <c r="AB437" i="1"/>
  <c r="AC437" i="1"/>
  <c r="AD437" i="1"/>
  <c r="AE437" i="1"/>
  <c r="AF437" i="1"/>
  <c r="AG437" i="1"/>
  <c r="AH437" i="1"/>
  <c r="AJ437" i="1"/>
  <c r="AK437" i="1"/>
  <c r="AL437" i="1"/>
  <c r="AO437" i="1"/>
  <c r="AP437" i="1"/>
  <c r="AV437" i="1"/>
  <c r="AW437" i="1"/>
  <c r="AX437" i="1"/>
  <c r="BC437" i="1"/>
  <c r="BD437" i="1"/>
  <c r="BF437" i="1"/>
  <c r="BH437" i="1"/>
  <c r="BI437" i="1"/>
  <c r="BJ437" i="1"/>
  <c r="J438" i="1"/>
  <c r="K438" i="1"/>
  <c r="L438" i="1"/>
  <c r="N438" i="1"/>
  <c r="Z438" i="1"/>
  <c r="AB438" i="1"/>
  <c r="AC438" i="1"/>
  <c r="AD438" i="1"/>
  <c r="AE438" i="1"/>
  <c r="AF438" i="1"/>
  <c r="AG438" i="1"/>
  <c r="AH438" i="1"/>
  <c r="AJ438" i="1"/>
  <c r="AK438" i="1"/>
  <c r="AL438" i="1"/>
  <c r="AO438" i="1"/>
  <c r="AP438" i="1"/>
  <c r="AV438" i="1"/>
  <c r="AW438" i="1"/>
  <c r="AX438" i="1"/>
  <c r="BC438" i="1"/>
  <c r="BD438" i="1"/>
  <c r="BF438" i="1"/>
  <c r="BH438" i="1"/>
  <c r="BI438" i="1"/>
  <c r="BJ438" i="1"/>
  <c r="J440" i="1"/>
  <c r="K440" i="1"/>
  <c r="L440" i="1"/>
  <c r="N440" i="1"/>
  <c r="Z440" i="1"/>
  <c r="AB440" i="1"/>
  <c r="AC440" i="1"/>
  <c r="AD440" i="1"/>
  <c r="AE440" i="1"/>
  <c r="AF440" i="1"/>
  <c r="AG440" i="1"/>
  <c r="AH440" i="1"/>
  <c r="AJ440" i="1"/>
  <c r="AK440" i="1"/>
  <c r="AL440" i="1"/>
  <c r="AO440" i="1"/>
  <c r="AP440" i="1"/>
  <c r="AV440" i="1"/>
  <c r="AW440" i="1"/>
  <c r="AX440" i="1"/>
  <c r="BC440" i="1"/>
  <c r="BD440" i="1"/>
  <c r="BF440" i="1"/>
  <c r="BH440" i="1"/>
  <c r="BI440" i="1"/>
  <c r="BJ440" i="1"/>
  <c r="J442" i="1"/>
  <c r="K442" i="1"/>
  <c r="L442" i="1"/>
  <c r="N442" i="1"/>
  <c r="Z442" i="1"/>
  <c r="AB442" i="1"/>
  <c r="AC442" i="1"/>
  <c r="AD442" i="1"/>
  <c r="AE442" i="1"/>
  <c r="AF442" i="1"/>
  <c r="AG442" i="1"/>
  <c r="AH442" i="1"/>
  <c r="AJ442" i="1"/>
  <c r="AK442" i="1"/>
  <c r="AL442" i="1"/>
  <c r="AO442" i="1"/>
  <c r="AP442" i="1"/>
  <c r="AV442" i="1"/>
  <c r="AW442" i="1"/>
  <c r="AX442" i="1"/>
  <c r="BC442" i="1"/>
  <c r="BD442" i="1"/>
  <c r="BF442" i="1"/>
  <c r="BH442" i="1"/>
  <c r="BI442" i="1"/>
  <c r="BJ442" i="1"/>
  <c r="J444" i="1"/>
  <c r="K444" i="1"/>
  <c r="L444" i="1"/>
  <c r="N444" i="1"/>
  <c r="Z444" i="1"/>
  <c r="AB444" i="1"/>
  <c r="AC444" i="1"/>
  <c r="AD444" i="1"/>
  <c r="AE444" i="1"/>
  <c r="AF444" i="1"/>
  <c r="AG444" i="1"/>
  <c r="AH444" i="1"/>
  <c r="AJ444" i="1"/>
  <c r="AK444" i="1"/>
  <c r="AL444" i="1"/>
  <c r="AO444" i="1"/>
  <c r="AP444" i="1"/>
  <c r="AV444" i="1"/>
  <c r="AW444" i="1"/>
  <c r="AX444" i="1"/>
  <c r="BC444" i="1"/>
  <c r="BD444" i="1"/>
  <c r="BF444" i="1"/>
  <c r="BH444" i="1"/>
  <c r="BI444" i="1"/>
  <c r="BJ444" i="1"/>
  <c r="J446" i="1"/>
  <c r="K446" i="1"/>
  <c r="L446" i="1"/>
  <c r="N446" i="1"/>
  <c r="Z446" i="1"/>
  <c r="AB446" i="1"/>
  <c r="AC446" i="1"/>
  <c r="AD446" i="1"/>
  <c r="AE446" i="1"/>
  <c r="AF446" i="1"/>
  <c r="AG446" i="1"/>
  <c r="AH446" i="1"/>
  <c r="AJ446" i="1"/>
  <c r="AK446" i="1"/>
  <c r="AL446" i="1"/>
  <c r="AO446" i="1"/>
  <c r="AP446" i="1"/>
  <c r="AV446" i="1"/>
  <c r="AW446" i="1"/>
  <c r="AX446" i="1"/>
  <c r="BC446" i="1"/>
  <c r="BD446" i="1"/>
  <c r="BF446" i="1"/>
  <c r="BH446" i="1"/>
  <c r="BI446" i="1"/>
  <c r="BJ446" i="1"/>
  <c r="J447" i="1"/>
  <c r="K447" i="1"/>
  <c r="L447" i="1"/>
  <c r="N447" i="1"/>
  <c r="Z447" i="1"/>
  <c r="AB447" i="1"/>
  <c r="AC447" i="1"/>
  <c r="AD447" i="1"/>
  <c r="AE447" i="1"/>
  <c r="AF447" i="1"/>
  <c r="AG447" i="1"/>
  <c r="AH447" i="1"/>
  <c r="AJ447" i="1"/>
  <c r="AK447" i="1"/>
  <c r="AL447" i="1"/>
  <c r="AO447" i="1"/>
  <c r="AP447" i="1"/>
  <c r="AV447" i="1"/>
  <c r="AW447" i="1"/>
  <c r="AX447" i="1"/>
  <c r="BC447" i="1"/>
  <c r="BD447" i="1"/>
  <c r="BF447" i="1"/>
  <c r="BH447" i="1"/>
  <c r="BI447" i="1"/>
  <c r="BJ447" i="1"/>
  <c r="J449" i="1"/>
  <c r="K449" i="1"/>
  <c r="L449" i="1"/>
  <c r="N449" i="1"/>
  <c r="Z449" i="1"/>
  <c r="AB449" i="1"/>
  <c r="AC449" i="1"/>
  <c r="AD449" i="1"/>
  <c r="AE449" i="1"/>
  <c r="AF449" i="1"/>
  <c r="AG449" i="1"/>
  <c r="AH449" i="1"/>
  <c r="AJ449" i="1"/>
  <c r="AK449" i="1"/>
  <c r="AL449" i="1"/>
  <c r="AO449" i="1"/>
  <c r="AP449" i="1"/>
  <c r="AV449" i="1"/>
  <c r="AW449" i="1"/>
  <c r="AX449" i="1"/>
  <c r="BC449" i="1"/>
  <c r="BD449" i="1"/>
  <c r="BF449" i="1"/>
  <c r="BH449" i="1"/>
  <c r="BI449" i="1"/>
  <c r="BJ449" i="1"/>
  <c r="J450" i="1"/>
  <c r="K450" i="1"/>
  <c r="L450" i="1"/>
  <c r="N450" i="1"/>
  <c r="Z450" i="1"/>
  <c r="AB450" i="1"/>
  <c r="AC450" i="1"/>
  <c r="AD450" i="1"/>
  <c r="AE450" i="1"/>
  <c r="AF450" i="1"/>
  <c r="AG450" i="1"/>
  <c r="AH450" i="1"/>
  <c r="AJ450" i="1"/>
  <c r="AK450" i="1"/>
  <c r="AL450" i="1"/>
  <c r="AO450" i="1"/>
  <c r="AP450" i="1"/>
  <c r="AV450" i="1"/>
  <c r="AW450" i="1"/>
  <c r="AX450" i="1"/>
  <c r="BC450" i="1"/>
  <c r="BD450" i="1"/>
  <c r="BF450" i="1"/>
  <c r="BH450" i="1"/>
  <c r="BI450" i="1"/>
  <c r="BJ450" i="1"/>
  <c r="J451" i="1"/>
  <c r="K451" i="1"/>
  <c r="L451" i="1"/>
  <c r="N451" i="1"/>
  <c r="Z451" i="1"/>
  <c r="AB451" i="1"/>
  <c r="AC451" i="1"/>
  <c r="AD451" i="1"/>
  <c r="AE451" i="1"/>
  <c r="AF451" i="1"/>
  <c r="AG451" i="1"/>
  <c r="AH451" i="1"/>
  <c r="AJ451" i="1"/>
  <c r="AK451" i="1"/>
  <c r="AL451" i="1"/>
  <c r="AO451" i="1"/>
  <c r="AP451" i="1"/>
  <c r="AV451" i="1"/>
  <c r="AW451" i="1"/>
  <c r="AX451" i="1"/>
  <c r="BC451" i="1"/>
  <c r="BD451" i="1"/>
  <c r="BF451" i="1"/>
  <c r="BH451" i="1"/>
  <c r="BI451" i="1"/>
  <c r="BJ451" i="1"/>
  <c r="J452" i="1"/>
  <c r="K452" i="1"/>
  <c r="L452" i="1"/>
  <c r="N452" i="1"/>
  <c r="Z452" i="1"/>
  <c r="AB452" i="1"/>
  <c r="AC452" i="1"/>
  <c r="AD452" i="1"/>
  <c r="AE452" i="1"/>
  <c r="AF452" i="1"/>
  <c r="AG452" i="1"/>
  <c r="AH452" i="1"/>
  <c r="AJ452" i="1"/>
  <c r="AK452" i="1"/>
  <c r="AL452" i="1"/>
  <c r="AO452" i="1"/>
  <c r="AP452" i="1"/>
  <c r="AV452" i="1"/>
  <c r="AW452" i="1"/>
  <c r="AX452" i="1"/>
  <c r="BC452" i="1"/>
  <c r="BD452" i="1"/>
  <c r="BF452" i="1"/>
  <c r="BH452" i="1"/>
  <c r="BI452" i="1"/>
  <c r="BJ452" i="1"/>
  <c r="J453" i="1"/>
  <c r="K453" i="1"/>
  <c r="L453" i="1"/>
  <c r="N453" i="1"/>
  <c r="Z453" i="1"/>
  <c r="AB453" i="1"/>
  <c r="AC453" i="1"/>
  <c r="AD453" i="1"/>
  <c r="AE453" i="1"/>
  <c r="AF453" i="1"/>
  <c r="AG453" i="1"/>
  <c r="AH453" i="1"/>
  <c r="AJ453" i="1"/>
  <c r="AK453" i="1"/>
  <c r="AL453" i="1"/>
  <c r="AO453" i="1"/>
  <c r="AP453" i="1"/>
  <c r="AV453" i="1"/>
  <c r="AW453" i="1"/>
  <c r="AX453" i="1"/>
  <c r="BC453" i="1"/>
  <c r="BD453" i="1"/>
  <c r="BF453" i="1"/>
  <c r="BH453" i="1"/>
  <c r="BI453" i="1"/>
  <c r="BJ453" i="1"/>
  <c r="J454" i="1"/>
  <c r="K454" i="1"/>
  <c r="L454" i="1"/>
  <c r="N454" i="1"/>
  <c r="AS454" i="1"/>
  <c r="AT454" i="1"/>
  <c r="AU454" i="1"/>
  <c r="J455" i="1"/>
  <c r="K455" i="1"/>
  <c r="L455" i="1"/>
  <c r="N455" i="1"/>
  <c r="Z455" i="1"/>
  <c r="AB455" i="1"/>
  <c r="AC455" i="1"/>
  <c r="AD455" i="1"/>
  <c r="AE455" i="1"/>
  <c r="AF455" i="1"/>
  <c r="AG455" i="1"/>
  <c r="AH455" i="1"/>
  <c r="AJ455" i="1"/>
  <c r="AK455" i="1"/>
  <c r="AL455" i="1"/>
  <c r="AO455" i="1"/>
  <c r="AP455" i="1"/>
  <c r="AV455" i="1"/>
  <c r="AW455" i="1"/>
  <c r="AX455" i="1"/>
  <c r="BC455" i="1"/>
  <c r="BD455" i="1"/>
  <c r="BF455" i="1"/>
  <c r="BH455" i="1"/>
  <c r="BI455" i="1"/>
  <c r="BJ455" i="1"/>
  <c r="J456" i="1"/>
  <c r="K456" i="1"/>
  <c r="L456" i="1"/>
  <c r="N456" i="1"/>
  <c r="Z456" i="1"/>
  <c r="AB456" i="1"/>
  <c r="AC456" i="1"/>
  <c r="AD456" i="1"/>
  <c r="AE456" i="1"/>
  <c r="AF456" i="1"/>
  <c r="AG456" i="1"/>
  <c r="AH456" i="1"/>
  <c r="AJ456" i="1"/>
  <c r="AK456" i="1"/>
  <c r="AL456" i="1"/>
  <c r="AO456" i="1"/>
  <c r="AP456" i="1"/>
  <c r="AV456" i="1"/>
  <c r="AW456" i="1"/>
  <c r="AX456" i="1"/>
  <c r="BC456" i="1"/>
  <c r="BD456" i="1"/>
  <c r="BF456" i="1"/>
  <c r="BH456" i="1"/>
  <c r="BI456" i="1"/>
  <c r="BJ456" i="1"/>
  <c r="J457" i="1"/>
  <c r="K457" i="1"/>
  <c r="L457" i="1"/>
  <c r="N457" i="1"/>
  <c r="Z457" i="1"/>
  <c r="AB457" i="1"/>
  <c r="AC457" i="1"/>
  <c r="AD457" i="1"/>
  <c r="AE457" i="1"/>
  <c r="AF457" i="1"/>
  <c r="AG457" i="1"/>
  <c r="AH457" i="1"/>
  <c r="AJ457" i="1"/>
  <c r="AK457" i="1"/>
  <c r="AL457" i="1"/>
  <c r="AO457" i="1"/>
  <c r="AP457" i="1"/>
  <c r="AV457" i="1"/>
  <c r="AW457" i="1"/>
  <c r="AX457" i="1"/>
  <c r="BC457" i="1"/>
  <c r="BD457" i="1"/>
  <c r="BF457" i="1"/>
  <c r="BH457" i="1"/>
  <c r="BI457" i="1"/>
  <c r="BJ457" i="1"/>
  <c r="J458" i="1"/>
  <c r="K458" i="1"/>
  <c r="L458" i="1"/>
  <c r="N458" i="1"/>
  <c r="Z458" i="1"/>
  <c r="AB458" i="1"/>
  <c r="AC458" i="1"/>
  <c r="AD458" i="1"/>
  <c r="AE458" i="1"/>
  <c r="AF458" i="1"/>
  <c r="AG458" i="1"/>
  <c r="AH458" i="1"/>
  <c r="AJ458" i="1"/>
  <c r="AK458" i="1"/>
  <c r="AL458" i="1"/>
  <c r="AO458" i="1"/>
  <c r="AP458" i="1"/>
  <c r="AV458" i="1"/>
  <c r="AW458" i="1"/>
  <c r="AX458" i="1"/>
  <c r="BC458" i="1"/>
  <c r="BD458" i="1"/>
  <c r="BF458" i="1"/>
  <c r="BH458" i="1"/>
  <c r="BI458" i="1"/>
  <c r="BJ458" i="1"/>
  <c r="J459" i="1"/>
  <c r="K459" i="1"/>
  <c r="L459" i="1"/>
  <c r="N459" i="1"/>
  <c r="Z459" i="1"/>
  <c r="AB459" i="1"/>
  <c r="AC459" i="1"/>
  <c r="AD459" i="1"/>
  <c r="AE459" i="1"/>
  <c r="AF459" i="1"/>
  <c r="AG459" i="1"/>
  <c r="AH459" i="1"/>
  <c r="AJ459" i="1"/>
  <c r="AK459" i="1"/>
  <c r="AL459" i="1"/>
  <c r="AO459" i="1"/>
  <c r="AP459" i="1"/>
  <c r="AV459" i="1"/>
  <c r="AW459" i="1"/>
  <c r="AX459" i="1"/>
  <c r="BC459" i="1"/>
  <c r="BD459" i="1"/>
  <c r="BF459" i="1"/>
  <c r="BH459" i="1"/>
  <c r="BI459" i="1"/>
  <c r="BJ459" i="1"/>
  <c r="J460" i="1"/>
  <c r="K460" i="1"/>
  <c r="L460" i="1"/>
  <c r="N460" i="1"/>
  <c r="Z460" i="1"/>
  <c r="AB460" i="1"/>
  <c r="AC460" i="1"/>
  <c r="AD460" i="1"/>
  <c r="AE460" i="1"/>
  <c r="AF460" i="1"/>
  <c r="AG460" i="1"/>
  <c r="AH460" i="1"/>
  <c r="AJ460" i="1"/>
  <c r="AK460" i="1"/>
  <c r="AL460" i="1"/>
  <c r="AO460" i="1"/>
  <c r="AP460" i="1"/>
  <c r="AV460" i="1"/>
  <c r="AW460" i="1"/>
  <c r="AX460" i="1"/>
  <c r="BC460" i="1"/>
  <c r="BD460" i="1"/>
  <c r="BF460" i="1"/>
  <c r="BH460" i="1"/>
  <c r="BI460" i="1"/>
  <c r="BJ460" i="1"/>
  <c r="J461" i="1"/>
  <c r="K461" i="1"/>
  <c r="L461" i="1"/>
  <c r="N461" i="1"/>
  <c r="Z461" i="1"/>
  <c r="AB461" i="1"/>
  <c r="AC461" i="1"/>
  <c r="AD461" i="1"/>
  <c r="AE461" i="1"/>
  <c r="AF461" i="1"/>
  <c r="AG461" i="1"/>
  <c r="AH461" i="1"/>
  <c r="AJ461" i="1"/>
  <c r="AK461" i="1"/>
  <c r="AL461" i="1"/>
  <c r="AO461" i="1"/>
  <c r="AP461" i="1"/>
  <c r="AV461" i="1"/>
  <c r="AW461" i="1"/>
  <c r="AX461" i="1"/>
  <c r="BC461" i="1"/>
  <c r="BD461" i="1"/>
  <c r="BF461" i="1"/>
  <c r="BH461" i="1"/>
  <c r="BI461" i="1"/>
  <c r="BJ461" i="1"/>
  <c r="J462" i="1"/>
  <c r="K462" i="1"/>
  <c r="L462" i="1"/>
  <c r="N462" i="1"/>
  <c r="AS462" i="1"/>
  <c r="AT462" i="1"/>
  <c r="AU462" i="1"/>
  <c r="J463" i="1"/>
  <c r="K463" i="1"/>
  <c r="L463" i="1"/>
  <c r="N463" i="1"/>
  <c r="Z463" i="1"/>
  <c r="AB463" i="1"/>
  <c r="AC463" i="1"/>
  <c r="AD463" i="1"/>
  <c r="AE463" i="1"/>
  <c r="AF463" i="1"/>
  <c r="AG463" i="1"/>
  <c r="AH463" i="1"/>
  <c r="AJ463" i="1"/>
  <c r="AK463" i="1"/>
  <c r="AL463" i="1"/>
  <c r="AO463" i="1"/>
  <c r="AP463" i="1"/>
  <c r="AV463" i="1"/>
  <c r="AW463" i="1"/>
  <c r="AX463" i="1"/>
  <c r="BC463" i="1"/>
  <c r="BD463" i="1"/>
  <c r="BF463" i="1"/>
  <c r="BH463" i="1"/>
  <c r="BI463" i="1"/>
  <c r="BJ463" i="1"/>
  <c r="J464" i="1"/>
  <c r="K464" i="1"/>
  <c r="L464" i="1"/>
  <c r="N464" i="1"/>
  <c r="Z464" i="1"/>
  <c r="AB464" i="1"/>
  <c r="AC464" i="1"/>
  <c r="AD464" i="1"/>
  <c r="AE464" i="1"/>
  <c r="AF464" i="1"/>
  <c r="AG464" i="1"/>
  <c r="AH464" i="1"/>
  <c r="AJ464" i="1"/>
  <c r="AK464" i="1"/>
  <c r="AL464" i="1"/>
  <c r="AO464" i="1"/>
  <c r="AP464" i="1"/>
  <c r="AV464" i="1"/>
  <c r="AW464" i="1"/>
  <c r="AX464" i="1"/>
  <c r="BC464" i="1"/>
  <c r="BD464" i="1"/>
  <c r="BF464" i="1"/>
  <c r="BH464" i="1"/>
  <c r="BI464" i="1"/>
  <c r="BJ464" i="1"/>
  <c r="L465" i="1"/>
  <c r="C2" i="2"/>
  <c r="G2" i="2"/>
  <c r="C4" i="2"/>
  <c r="G4" i="2"/>
  <c r="C6" i="2"/>
  <c r="G6" i="2"/>
  <c r="C8" i="2"/>
  <c r="G8" i="2"/>
  <c r="D11" i="2"/>
  <c r="E11" i="2"/>
  <c r="F11" i="2"/>
  <c r="G11" i="2"/>
  <c r="I11" i="2"/>
  <c r="D12" i="2"/>
  <c r="E12" i="2"/>
  <c r="F12" i="2"/>
  <c r="G12" i="2"/>
  <c r="I12" i="2"/>
  <c r="D13" i="2"/>
  <c r="E13" i="2"/>
  <c r="F13" i="2"/>
  <c r="G13" i="2"/>
  <c r="I13" i="2"/>
  <c r="D14" i="2"/>
  <c r="E14" i="2"/>
  <c r="F14" i="2"/>
  <c r="G14" i="2"/>
  <c r="I14" i="2"/>
  <c r="D15" i="2"/>
  <c r="E15" i="2"/>
  <c r="F15" i="2"/>
  <c r="G15" i="2"/>
  <c r="I15" i="2"/>
  <c r="D16" i="2"/>
  <c r="E16" i="2"/>
  <c r="F16" i="2"/>
  <c r="G16" i="2"/>
  <c r="I16" i="2"/>
  <c r="D17" i="2"/>
  <c r="E17" i="2"/>
  <c r="F17" i="2"/>
  <c r="G17" i="2"/>
  <c r="I17" i="2"/>
  <c r="D18" i="2"/>
  <c r="E18" i="2"/>
  <c r="F18" i="2"/>
  <c r="G18" i="2"/>
  <c r="I18" i="2"/>
  <c r="D19" i="2"/>
  <c r="E19" i="2"/>
  <c r="F19" i="2"/>
  <c r="G19" i="2"/>
  <c r="I19" i="2"/>
  <c r="D20" i="2"/>
  <c r="E20" i="2"/>
  <c r="F20" i="2"/>
  <c r="G20" i="2"/>
  <c r="I20" i="2"/>
  <c r="D21" i="2"/>
  <c r="E21" i="2"/>
  <c r="F21" i="2"/>
  <c r="G21" i="2"/>
  <c r="I21" i="2"/>
  <c r="D22" i="2"/>
  <c r="E22" i="2"/>
  <c r="F22" i="2"/>
  <c r="G22" i="2"/>
  <c r="I22" i="2"/>
  <c r="D23" i="2"/>
  <c r="E23" i="2"/>
  <c r="F23" i="2"/>
  <c r="G23" i="2"/>
  <c r="I23" i="2"/>
  <c r="D24" i="2"/>
  <c r="E24" i="2"/>
  <c r="F24" i="2"/>
  <c r="G24" i="2"/>
  <c r="I24" i="2"/>
  <c r="D25" i="2"/>
  <c r="E25" i="2"/>
  <c r="F25" i="2"/>
  <c r="G25" i="2"/>
  <c r="I25" i="2"/>
  <c r="D26" i="2"/>
  <c r="E26" i="2"/>
  <c r="F26" i="2"/>
  <c r="G26" i="2"/>
  <c r="I26" i="2"/>
  <c r="D27" i="2"/>
  <c r="E27" i="2"/>
  <c r="F27" i="2"/>
  <c r="G27" i="2"/>
  <c r="I27" i="2"/>
  <c r="D28" i="2"/>
  <c r="E28" i="2"/>
  <c r="F28" i="2"/>
  <c r="G28" i="2"/>
  <c r="I28" i="2"/>
  <c r="D29" i="2"/>
  <c r="E29" i="2"/>
  <c r="F29" i="2"/>
  <c r="G29" i="2"/>
  <c r="I29" i="2"/>
  <c r="D30" i="2"/>
  <c r="E30" i="2"/>
  <c r="F30" i="2"/>
  <c r="G30" i="2"/>
  <c r="I30" i="2"/>
  <c r="D31" i="2"/>
  <c r="E31" i="2"/>
  <c r="F31" i="2"/>
  <c r="G31" i="2"/>
  <c r="I31" i="2"/>
  <c r="D32" i="2"/>
  <c r="E32" i="2"/>
  <c r="F32" i="2"/>
  <c r="G32" i="2"/>
  <c r="I32" i="2"/>
  <c r="D33" i="2"/>
  <c r="E33" i="2"/>
  <c r="F33" i="2"/>
  <c r="G33" i="2"/>
  <c r="I33" i="2"/>
  <c r="D34" i="2"/>
  <c r="E34" i="2"/>
  <c r="F34" i="2"/>
  <c r="G34" i="2"/>
  <c r="I34" i="2"/>
  <c r="D35" i="2"/>
  <c r="E35" i="2"/>
  <c r="F35" i="2"/>
  <c r="G35" i="2"/>
  <c r="I35" i="2"/>
  <c r="D36" i="2"/>
  <c r="E36" i="2"/>
  <c r="F36" i="2"/>
  <c r="G36" i="2"/>
  <c r="I36" i="2"/>
  <c r="D37" i="2"/>
  <c r="E37" i="2"/>
  <c r="F37" i="2"/>
  <c r="G37" i="2"/>
  <c r="I37" i="2"/>
  <c r="D38" i="2"/>
  <c r="E38" i="2"/>
  <c r="F38" i="2"/>
  <c r="G38" i="2"/>
  <c r="I38" i="2"/>
  <c r="D39" i="2"/>
  <c r="E39" i="2"/>
  <c r="F39" i="2"/>
  <c r="G39" i="2"/>
  <c r="I39" i="2"/>
  <c r="D40" i="2"/>
  <c r="E40" i="2"/>
  <c r="F40" i="2"/>
  <c r="G40" i="2"/>
  <c r="I40" i="2"/>
  <c r="D41" i="2"/>
  <c r="E41" i="2"/>
  <c r="F41" i="2"/>
  <c r="G41" i="2"/>
  <c r="I41" i="2"/>
  <c r="D42" i="2"/>
  <c r="E42" i="2"/>
  <c r="F42" i="2"/>
  <c r="G42" i="2"/>
  <c r="I42" i="2"/>
  <c r="D43" i="2"/>
  <c r="E43" i="2"/>
  <c r="F43" i="2"/>
  <c r="G43" i="2"/>
  <c r="I43" i="2"/>
  <c r="D44" i="2"/>
  <c r="E44" i="2"/>
  <c r="F44" i="2"/>
  <c r="G44" i="2"/>
  <c r="I44" i="2"/>
  <c r="D45" i="2"/>
  <c r="E45" i="2"/>
  <c r="F45" i="2"/>
  <c r="G45" i="2"/>
  <c r="I45" i="2"/>
  <c r="D46" i="2"/>
  <c r="E46" i="2"/>
  <c r="F46" i="2"/>
  <c r="G46" i="2"/>
  <c r="I46" i="2"/>
  <c r="D47" i="2"/>
  <c r="E47" i="2"/>
  <c r="F47" i="2"/>
  <c r="G47" i="2"/>
  <c r="I47" i="2"/>
  <c r="D48" i="2"/>
  <c r="E48" i="2"/>
  <c r="F48" i="2"/>
  <c r="G48" i="2"/>
  <c r="I48" i="2"/>
  <c r="D49" i="2"/>
  <c r="E49" i="2"/>
  <c r="F49" i="2"/>
  <c r="G49" i="2"/>
  <c r="I49" i="2"/>
  <c r="D50" i="2"/>
  <c r="E50" i="2"/>
  <c r="F50" i="2"/>
  <c r="G50" i="2"/>
  <c r="I50" i="2"/>
  <c r="D51" i="2"/>
  <c r="E51" i="2"/>
  <c r="F51" i="2"/>
  <c r="G51" i="2"/>
  <c r="I51" i="2"/>
  <c r="D52" i="2"/>
  <c r="E52" i="2"/>
  <c r="F52" i="2"/>
  <c r="G52" i="2"/>
  <c r="I52" i="2"/>
  <c r="D53" i="2"/>
  <c r="E53" i="2"/>
  <c r="F53" i="2"/>
  <c r="G53" i="2"/>
  <c r="I53" i="2"/>
  <c r="D54" i="2"/>
  <c r="E54" i="2"/>
  <c r="F54" i="2"/>
  <c r="G54" i="2"/>
  <c r="I54" i="2"/>
  <c r="D55" i="2"/>
  <c r="E55" i="2"/>
  <c r="F55" i="2"/>
  <c r="G55" i="2"/>
  <c r="I55" i="2"/>
  <c r="D56" i="2"/>
  <c r="E56" i="2"/>
  <c r="F56" i="2"/>
  <c r="G56" i="2"/>
  <c r="I56" i="2"/>
  <c r="D57" i="2"/>
  <c r="E57" i="2"/>
  <c r="F57" i="2"/>
  <c r="G57" i="2"/>
  <c r="I57" i="2"/>
  <c r="D58" i="2"/>
  <c r="E58" i="2"/>
  <c r="F58" i="2"/>
  <c r="G58" i="2"/>
  <c r="I58" i="2"/>
  <c r="D59" i="2"/>
  <c r="E59" i="2"/>
  <c r="F59" i="2"/>
  <c r="G59" i="2"/>
  <c r="I59" i="2"/>
  <c r="D60" i="2"/>
  <c r="E60" i="2"/>
  <c r="F60" i="2"/>
  <c r="G60" i="2"/>
  <c r="I60" i="2"/>
  <c r="D61" i="2"/>
  <c r="E61" i="2"/>
  <c r="F61" i="2"/>
  <c r="G61" i="2"/>
  <c r="I61" i="2"/>
  <c r="D62" i="2"/>
  <c r="E62" i="2"/>
  <c r="F62" i="2"/>
  <c r="G62" i="2"/>
  <c r="I62" i="2"/>
  <c r="D63" i="2"/>
  <c r="E63" i="2"/>
  <c r="F63" i="2"/>
  <c r="G63" i="2"/>
  <c r="I63" i="2"/>
  <c r="D64" i="2"/>
  <c r="E64" i="2"/>
  <c r="F64" i="2"/>
  <c r="G64" i="2"/>
  <c r="I64" i="2"/>
  <c r="D65" i="2"/>
  <c r="E65" i="2"/>
  <c r="F65" i="2"/>
  <c r="G65" i="2"/>
  <c r="I65" i="2"/>
  <c r="D66" i="2"/>
  <c r="E66" i="2"/>
  <c r="F66" i="2"/>
  <c r="G66" i="2"/>
  <c r="I66" i="2"/>
  <c r="F67" i="2"/>
  <c r="C2" i="5"/>
  <c r="F2" i="5"/>
  <c r="C4" i="5"/>
  <c r="F4" i="5"/>
  <c r="C6" i="5"/>
  <c r="F6" i="5"/>
  <c r="C8" i="5"/>
  <c r="C10" i="5"/>
  <c r="F10" i="5"/>
  <c r="I10" i="5"/>
  <c r="I15" i="5"/>
  <c r="I16" i="5"/>
  <c r="I17" i="5"/>
  <c r="I18" i="5"/>
  <c r="I21" i="5"/>
  <c r="I22" i="5"/>
  <c r="I23" i="5"/>
  <c r="I24" i="5"/>
  <c r="I25" i="5"/>
  <c r="I26" i="5"/>
  <c r="I27" i="5"/>
  <c r="F29" i="5"/>
  <c r="I35" i="5"/>
  <c r="I36" i="5"/>
  <c r="B2" i="3"/>
  <c r="E2" i="3"/>
  <c r="B4" i="3"/>
  <c r="E4" i="3"/>
  <c r="B6" i="3"/>
  <c r="E6" i="3"/>
  <c r="B8" i="3"/>
  <c r="E8" i="3"/>
</calcChain>
</file>

<file path=xl/sharedStrings.xml><?xml version="1.0" encoding="utf-8"?>
<sst xmlns="http://schemas.openxmlformats.org/spreadsheetml/2006/main" count="5415" uniqueCount="1334">
  <si>
    <t>Slepý stavební rozpočet</t>
  </si>
  <si>
    <t>Název stavby:</t>
  </si>
  <si>
    <t>Druh stavby:</t>
  </si>
  <si>
    <t>Umístění: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</si>
  <si>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</si>
  <si>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</si>
  <si>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</si>
  <si>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</si>
  <si>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</si>
  <si>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</si>
  <si>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</si>
  <si>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</si>
  <si>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</si>
  <si>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</si>
  <si>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</si>
  <si>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</si>
  <si>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</si>
  <si>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</si>
  <si>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</si>
  <si>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</si>
  <si>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</si>
  <si>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</si>
  <si>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</si>
  <si>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</si>
  <si>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</si>
  <si>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</si>
  <si>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</si>
  <si>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</si>
  <si>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</si>
  <si>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</si>
  <si>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</si>
  <si>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</si>
  <si>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</si>
  <si>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</si>
  <si>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</si>
  <si>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</si>
  <si>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</si>
  <si>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</si>
  <si>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</si>
  <si>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</si>
  <si>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</si>
  <si>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</si>
  <si>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</si>
  <si>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</si>
  <si>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</si>
  <si>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</si>
  <si>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</si>
  <si>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</si>
  <si>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</si>
  <si>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</si>
  <si>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</si>
  <si>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</si>
  <si>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</si>
  <si>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</si>
  <si>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</si>
  <si>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</si>
  <si>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</si>
  <si>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</si>
  <si>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</si>
  <si>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</si>
  <si>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</si>
  <si>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</si>
  <si>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</si>
  <si>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</si>
  <si>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</si>
  <si>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</si>
  <si>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</si>
  <si>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</si>
  <si>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</si>
  <si>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</si>
  <si>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</si>
  <si>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</si>
  <si>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</si>
  <si>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</si>
  <si>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</si>
  <si>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</si>
  <si>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</si>
  <si>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</si>
  <si>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</si>
  <si>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</si>
  <si>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</si>
  <si>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</si>
  <si>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</si>
  <si>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</si>
  <si>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</si>
  <si>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</si>
  <si>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</si>
  <si>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</si>
  <si>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</si>
  <si>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</si>
  <si>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</si>
  <si>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</si>
  <si>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</si>
  <si>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</si>
  <si>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</si>
  <si>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</si>
  <si>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</si>
  <si>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</si>
  <si>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</si>
  <si>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</si>
  <si>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</si>
  <si>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</si>
  <si>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</si>
  <si>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</si>
  <si>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</si>
  <si>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</si>
  <si>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</si>
  <si>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</si>
  <si>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</si>
  <si>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</si>
  <si>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</si>
  <si>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</si>
  <si>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</si>
  <si>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</si>
  <si>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</si>
  <si>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</si>
  <si>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</si>
  <si>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</si>
  <si>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</si>
  <si>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</si>
  <si>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</si>
  <si>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</si>
  <si>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</si>
  <si>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</si>
  <si>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</si>
  <si>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</si>
  <si>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</si>
  <si>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</si>
  <si>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</si>
  <si>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</si>
  <si>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</si>
  <si>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</si>
  <si>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</si>
  <si>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</si>
  <si>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</si>
  <si>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</si>
  <si>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</si>
  <si>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</si>
  <si>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</si>
  <si>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</si>
  <si>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</si>
  <si>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</si>
  <si>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</si>
  <si>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</si>
  <si>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</si>
  <si>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</si>
  <si>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</si>
  <si>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</si>
  <si>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</si>
  <si>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</si>
  <si>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</si>
  <si>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</si>
  <si>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</si>
  <si>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</si>
  <si>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</si>
  <si>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</si>
  <si>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</si>
  <si>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</si>
  <si>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</si>
  <si>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</si>
  <si>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</si>
  <si>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</si>
  <si>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</si>
  <si>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</si>
  <si>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</si>
  <si>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</si>
  <si>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</si>
  <si>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</si>
  <si>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</si>
  <si>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</si>
  <si>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</si>
  <si>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</si>
  <si>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</si>
  <si>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</si>
  <si>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</si>
  <si>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</si>
  <si>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</si>
  <si>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</si>
  <si>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</si>
  <si>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</si>
  <si>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</si>
  <si>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</si>
  <si>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</si>
  <si>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</si>
  <si>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</si>
  <si>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</si>
  <si>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</si>
  <si>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</si>
  <si>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</si>
  <si>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</si>
  <si>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</si>
  <si>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</si>
  <si>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</si>
  <si>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</si>
  <si>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</si>
  <si>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</si>
  <si>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</si>
  <si>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</si>
  <si>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</si>
  <si>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</si>
  <si>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</si>
  <si>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</si>
  <si>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</si>
  <si>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</si>
  <si>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</si>
  <si>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</si>
  <si>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</si>
  <si>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</si>
  <si>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</si>
  <si>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</si>
  <si>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</si>
  <si>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</si>
  <si>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</si>
  <si>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</si>
  <si>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</si>
  <si>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</si>
  <si>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</si>
  <si>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</si>
  <si>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</si>
  <si>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</si>
  <si>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</si>
  <si>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</si>
  <si>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</si>
  <si>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</si>
  <si>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</si>
  <si>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</si>
  <si>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</si>
  <si>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</si>
  <si>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</si>
  <si>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</si>
  <si>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</si>
  <si>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</si>
  <si>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</si>
  <si>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</si>
  <si>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</si>
  <si>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</si>
  <si>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</si>
  <si>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</si>
  <si>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</si>
  <si>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</si>
  <si>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</si>
  <si>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</si>
  <si>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</si>
  <si>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</si>
  <si>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</si>
  <si>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</si>
  <si>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</si>
  <si>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</si>
  <si>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</si>
  <si>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</si>
  <si>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</si>
  <si>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</si>
  <si>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</si>
  <si>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</si>
  <si>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</si>
  <si>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</si>
  <si>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</si>
  <si>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</si>
  <si>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</si>
  <si>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</si>
  <si>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</si>
  <si>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</si>
  <si>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</si>
  <si>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</si>
  <si>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</si>
  <si>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</si>
  <si>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</si>
  <si>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</si>
  <si>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</si>
  <si>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</si>
  <si>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</si>
  <si>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</si>
  <si>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</si>
  <si>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</si>
  <si>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</si>
  <si>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</si>
  <si>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</si>
  <si>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</si>
  <si>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</si>
  <si>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</si>
  <si>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</si>
  <si>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</si>
  <si>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</si>
  <si>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</si>
  <si>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</si>
  <si>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</si>
  <si>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</si>
  <si>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</si>
  <si>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</si>
  <si>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</si>
  <si>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</si>
  <si>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</si>
  <si>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</si>
  <si>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</si>
  <si>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</si>
  <si>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</si>
  <si>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</si>
  <si>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</si>
  <si>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</si>
  <si>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</si>
  <si>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</si>
  <si>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</si>
  <si>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</si>
  <si>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</si>
  <si>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</si>
  <si>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</si>
  <si>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</si>
  <si>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</si>
  <si>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</si>
  <si>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</si>
  <si>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</si>
  <si>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</si>
  <si>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</si>
  <si>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</si>
  <si>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</si>
  <si>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</si>
  <si>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</si>
  <si>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</si>
  <si>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</si>
  <si>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</si>
  <si>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</si>
  <si>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</si>
  <si>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</si>
  <si>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</si>
  <si>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</si>
  <si>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</si>
  <si>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</si>
  <si>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</si>
  <si>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</si>
  <si>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</si>
  <si>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</si>
  <si>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</si>
  <si>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</si>
  <si>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</si>
  <si>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</si>
  <si>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</si>
  <si>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</si>
  <si>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</si>
  <si>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</si>
  <si>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</si>
  <si>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</si>
  <si>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</si>
  <si>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Poznámka:</t>
  </si>
  <si>
    <t>Kód</t>
  </si>
  <si>
    <t>115101302R00</t>
  </si>
  <si>
    <t>111101101R00</t>
  </si>
  <si>
    <t>119001421R00</t>
  </si>
  <si>
    <t>11VD</t>
  </si>
  <si>
    <t>11001VD</t>
  </si>
  <si>
    <t>121101100R00</t>
  </si>
  <si>
    <t>122101101R00</t>
  </si>
  <si>
    <t>139601103R00</t>
  </si>
  <si>
    <t>167101101R00</t>
  </si>
  <si>
    <t>162701105R00</t>
  </si>
  <si>
    <t>162702199R00</t>
  </si>
  <si>
    <t>171101105R00</t>
  </si>
  <si>
    <t>174101102R00</t>
  </si>
  <si>
    <t>58337320</t>
  </si>
  <si>
    <t>564261113R00</t>
  </si>
  <si>
    <t>979082318R00</t>
  </si>
  <si>
    <t>340235212R00</t>
  </si>
  <si>
    <t>310237241RT1</t>
  </si>
  <si>
    <t>310236241R00</t>
  </si>
  <si>
    <t>42972805</t>
  </si>
  <si>
    <t>28349061</t>
  </si>
  <si>
    <t>338171112R00</t>
  </si>
  <si>
    <t>444001VD</t>
  </si>
  <si>
    <t>444002VD</t>
  </si>
  <si>
    <t>444007VD</t>
  </si>
  <si>
    <t>444003VD</t>
  </si>
  <si>
    <t>430321313R00</t>
  </si>
  <si>
    <t>465513121R00</t>
  </si>
  <si>
    <t>632921911R00</t>
  </si>
  <si>
    <t>632921413R00</t>
  </si>
  <si>
    <t>631313911RM1</t>
  </si>
  <si>
    <t>591100020RA0</t>
  </si>
  <si>
    <t>59248000</t>
  </si>
  <si>
    <t>612451231R00</t>
  </si>
  <si>
    <t>612474510RT4</t>
  </si>
  <si>
    <t>611421211R00</t>
  </si>
  <si>
    <t>612401191RT2</t>
  </si>
  <si>
    <t>620451121R00</t>
  </si>
  <si>
    <t>631312411RM1</t>
  </si>
  <si>
    <t>631313621RM1</t>
  </si>
  <si>
    <t>641941111R00</t>
  </si>
  <si>
    <t>61143000</t>
  </si>
  <si>
    <t>642942111RT4</t>
  </si>
  <si>
    <t>642943111R00</t>
  </si>
  <si>
    <t>61165636</t>
  </si>
  <si>
    <t>766669922R00</t>
  </si>
  <si>
    <t>54914625</t>
  </si>
  <si>
    <t>713</t>
  </si>
  <si>
    <t>713400821R00</t>
  </si>
  <si>
    <t>722181211RT7</t>
  </si>
  <si>
    <t>722181214RU1</t>
  </si>
  <si>
    <t>722182004RT2</t>
  </si>
  <si>
    <t>722181214RT9</t>
  </si>
  <si>
    <t>722181214RW2</t>
  </si>
  <si>
    <t>722181214RW4</t>
  </si>
  <si>
    <t>722181214RY3</t>
  </si>
  <si>
    <t>722181214RY5</t>
  </si>
  <si>
    <t>713551192RU1</t>
  </si>
  <si>
    <t>713571111RT2</t>
  </si>
  <si>
    <t>721</t>
  </si>
  <si>
    <t>721211510R00</t>
  </si>
  <si>
    <t>721176101R00</t>
  </si>
  <si>
    <t>721173303R00</t>
  </si>
  <si>
    <t>721176103R00</t>
  </si>
  <si>
    <t>721170905R00</t>
  </si>
  <si>
    <t>28651077</t>
  </si>
  <si>
    <t>722</t>
  </si>
  <si>
    <t>722130901R00</t>
  </si>
  <si>
    <t>722130801R00</t>
  </si>
  <si>
    <t>722170801R00</t>
  </si>
  <si>
    <t>722160811R00</t>
  </si>
  <si>
    <t>722131914R00</t>
  </si>
  <si>
    <t>722131912R00</t>
  </si>
  <si>
    <t>722172731R00</t>
  </si>
  <si>
    <t>722179191R00</t>
  </si>
  <si>
    <t>722238111R00</t>
  </si>
  <si>
    <t>722280106R00</t>
  </si>
  <si>
    <t>722290234R00</t>
  </si>
  <si>
    <t>722269114R00</t>
  </si>
  <si>
    <t>723</t>
  </si>
  <si>
    <t>723150312R00</t>
  </si>
  <si>
    <t>723150306R00</t>
  </si>
  <si>
    <t>723120206R00</t>
  </si>
  <si>
    <t>723150305R00</t>
  </si>
  <si>
    <t>723120205R00</t>
  </si>
  <si>
    <t>723120203R00</t>
  </si>
  <si>
    <t>723120202R00</t>
  </si>
  <si>
    <t>734264313R00</t>
  </si>
  <si>
    <t>723235216R00</t>
  </si>
  <si>
    <t>723235112R00</t>
  </si>
  <si>
    <t>723235111R00</t>
  </si>
  <si>
    <t>723190251R00</t>
  </si>
  <si>
    <t>723190907R00</t>
  </si>
  <si>
    <t>723190909R00</t>
  </si>
  <si>
    <t>723237265R00</t>
  </si>
  <si>
    <t>734271134R00</t>
  </si>
  <si>
    <t>723239106R00</t>
  </si>
  <si>
    <t>734209116R00</t>
  </si>
  <si>
    <t>731</t>
  </si>
  <si>
    <t>731391811R00</t>
  </si>
  <si>
    <t>731100808R00</t>
  </si>
  <si>
    <t>731100836R00</t>
  </si>
  <si>
    <t>731159316R00</t>
  </si>
  <si>
    <t>08001VD</t>
  </si>
  <si>
    <t>10011VD</t>
  </si>
  <si>
    <t>734134412R00</t>
  </si>
  <si>
    <t>731249322R00</t>
  </si>
  <si>
    <t>10012VD</t>
  </si>
  <si>
    <t>10013VD</t>
  </si>
  <si>
    <t>10014VD</t>
  </si>
  <si>
    <t>10015VD</t>
  </si>
  <si>
    <t>10016VD</t>
  </si>
  <si>
    <t>10017VD</t>
  </si>
  <si>
    <t>10018VD</t>
  </si>
  <si>
    <t>10019VD</t>
  </si>
  <si>
    <t>10020VD</t>
  </si>
  <si>
    <t>10021VD</t>
  </si>
  <si>
    <t>10022VD</t>
  </si>
  <si>
    <t>10023VD</t>
  </si>
  <si>
    <t>10024VD</t>
  </si>
  <si>
    <t>10025VD</t>
  </si>
  <si>
    <t>10026VD</t>
  </si>
  <si>
    <t>08002VD</t>
  </si>
  <si>
    <t>08003VD</t>
  </si>
  <si>
    <t>11008VD</t>
  </si>
  <si>
    <t>731412167R00</t>
  </si>
  <si>
    <t>10027VD</t>
  </si>
  <si>
    <t>10028VD</t>
  </si>
  <si>
    <t>732</t>
  </si>
  <si>
    <t>732324821R00</t>
  </si>
  <si>
    <t>732320814R00</t>
  </si>
  <si>
    <t>732110812R00</t>
  </si>
  <si>
    <t>732420816R00</t>
  </si>
  <si>
    <t>732420812R00</t>
  </si>
  <si>
    <t>732211813R00</t>
  </si>
  <si>
    <t>732111125R00</t>
  </si>
  <si>
    <t>732111146R00</t>
  </si>
  <si>
    <t>732339109R00</t>
  </si>
  <si>
    <t>732339101R00</t>
  </si>
  <si>
    <t>732421312R00</t>
  </si>
  <si>
    <t>732419111R00</t>
  </si>
  <si>
    <t>732419112R00</t>
  </si>
  <si>
    <t>732419115R00</t>
  </si>
  <si>
    <t>732419113R00</t>
  </si>
  <si>
    <t>732419116R00</t>
  </si>
  <si>
    <t>20002VD</t>
  </si>
  <si>
    <t>733</t>
  </si>
  <si>
    <t>733120836R00</t>
  </si>
  <si>
    <t>733120826R00</t>
  </si>
  <si>
    <t>733121222R00</t>
  </si>
  <si>
    <t>733111318R00</t>
  </si>
  <si>
    <t>733111317R00</t>
  </si>
  <si>
    <t>733111316R00</t>
  </si>
  <si>
    <t>733111315R00</t>
  </si>
  <si>
    <t>733111314R00</t>
  </si>
  <si>
    <t>733111313R00</t>
  </si>
  <si>
    <t>733123116R00</t>
  </si>
  <si>
    <t>733193919R00</t>
  </si>
  <si>
    <t>734</t>
  </si>
  <si>
    <t>734209127R00</t>
  </si>
  <si>
    <t>734209126R00</t>
  </si>
  <si>
    <t>734209119R00</t>
  </si>
  <si>
    <t>734209125R00</t>
  </si>
  <si>
    <t>734109215R00</t>
  </si>
  <si>
    <t>734164157R00</t>
  </si>
  <si>
    <t>734237136R00</t>
  </si>
  <si>
    <t>734237125R00</t>
  </si>
  <si>
    <t>734237114R00</t>
  </si>
  <si>
    <t>734237112R00</t>
  </si>
  <si>
    <t>734237111R00</t>
  </si>
  <si>
    <t>734237143R00</t>
  </si>
  <si>
    <t>734237142R00</t>
  </si>
  <si>
    <t>734237141R00</t>
  </si>
  <si>
    <t>734243416R00</t>
  </si>
  <si>
    <t>734244423R00</t>
  </si>
  <si>
    <t>734254111R00</t>
  </si>
  <si>
    <t>734265317R00</t>
  </si>
  <si>
    <t>734265316R00</t>
  </si>
  <si>
    <t>734265315R00</t>
  </si>
  <si>
    <t>734265314R00</t>
  </si>
  <si>
    <t>734265313R00</t>
  </si>
  <si>
    <t>734265312R00</t>
  </si>
  <si>
    <t>734265124R00</t>
  </si>
  <si>
    <t>734421150R00</t>
  </si>
  <si>
    <t>722264321R00</t>
  </si>
  <si>
    <t>734215133R00</t>
  </si>
  <si>
    <t>734295382R00</t>
  </si>
  <si>
    <t>734209115R00</t>
  </si>
  <si>
    <t>734173216R00</t>
  </si>
  <si>
    <t>735</t>
  </si>
  <si>
    <t>735494811R00</t>
  </si>
  <si>
    <t>762</t>
  </si>
  <si>
    <t>762132137RT2</t>
  </si>
  <si>
    <t>762132811R00</t>
  </si>
  <si>
    <t>764</t>
  </si>
  <si>
    <t>764719433R00</t>
  </si>
  <si>
    <t>767</t>
  </si>
  <si>
    <t>767649191R00</t>
  </si>
  <si>
    <t>767662110R00</t>
  </si>
  <si>
    <t>767911130R00</t>
  </si>
  <si>
    <t>767912110R00</t>
  </si>
  <si>
    <t>767920210R00</t>
  </si>
  <si>
    <t>444004VD</t>
  </si>
  <si>
    <t>444005VD</t>
  </si>
  <si>
    <t>311716521</t>
  </si>
  <si>
    <t>444006VD</t>
  </si>
  <si>
    <t>338963181R00</t>
  </si>
  <si>
    <t>444008VD</t>
  </si>
  <si>
    <t>767911821R00</t>
  </si>
  <si>
    <t>771</t>
  </si>
  <si>
    <t>771575107RT2</t>
  </si>
  <si>
    <t>771441035R00</t>
  </si>
  <si>
    <t>771441014R00</t>
  </si>
  <si>
    <t>771101121R00</t>
  </si>
  <si>
    <t>59764203</t>
  </si>
  <si>
    <t>59764240</t>
  </si>
  <si>
    <t>783</t>
  </si>
  <si>
    <t>783421310R00</t>
  </si>
  <si>
    <t>783424140R00</t>
  </si>
  <si>
    <t>783425150R00</t>
  </si>
  <si>
    <t>783424340R00</t>
  </si>
  <si>
    <t>965042121RT2</t>
  </si>
  <si>
    <t>962032631R00</t>
  </si>
  <si>
    <t>968019541R00</t>
  </si>
  <si>
    <t>784</t>
  </si>
  <si>
    <t>784011222RT2</t>
  </si>
  <si>
    <t>784432261R00</t>
  </si>
  <si>
    <t>795</t>
  </si>
  <si>
    <t>795221131R00</t>
  </si>
  <si>
    <t>917732111R00</t>
  </si>
  <si>
    <t>59217003</t>
  </si>
  <si>
    <t>936121111R00</t>
  </si>
  <si>
    <t>936172111R00</t>
  </si>
  <si>
    <t>936172112R00</t>
  </si>
  <si>
    <t>971042123R00</t>
  </si>
  <si>
    <t>971042151R00</t>
  </si>
  <si>
    <t>971042251R00</t>
  </si>
  <si>
    <t>971033123R00</t>
  </si>
  <si>
    <t>H01</t>
  </si>
  <si>
    <t>998011001R00</t>
  </si>
  <si>
    <t>H14</t>
  </si>
  <si>
    <t>998142261R00</t>
  </si>
  <si>
    <t>H15</t>
  </si>
  <si>
    <t>998151111R00</t>
  </si>
  <si>
    <t>H22</t>
  </si>
  <si>
    <t>998223011R00</t>
  </si>
  <si>
    <t>H23</t>
  </si>
  <si>
    <t>998235011R00</t>
  </si>
  <si>
    <t>H27</t>
  </si>
  <si>
    <t>998276101R00</t>
  </si>
  <si>
    <t>H28</t>
  </si>
  <si>
    <t>998289011R00</t>
  </si>
  <si>
    <t>H713</t>
  </si>
  <si>
    <t>998713101R00</t>
  </si>
  <si>
    <t>H721</t>
  </si>
  <si>
    <t>998721101R00</t>
  </si>
  <si>
    <t>H722</t>
  </si>
  <si>
    <t>998722101R00</t>
  </si>
  <si>
    <t>H723</t>
  </si>
  <si>
    <t>998723101R00</t>
  </si>
  <si>
    <t>H731</t>
  </si>
  <si>
    <t>998731101R00</t>
  </si>
  <si>
    <t>H732</t>
  </si>
  <si>
    <t>998732101R00</t>
  </si>
  <si>
    <t>H733</t>
  </si>
  <si>
    <t>998733101R00</t>
  </si>
  <si>
    <t>H734</t>
  </si>
  <si>
    <t>998734101R00</t>
  </si>
  <si>
    <t>H77VD</t>
  </si>
  <si>
    <t>77003VD</t>
  </si>
  <si>
    <t>77002VD</t>
  </si>
  <si>
    <t>77001VD</t>
  </si>
  <si>
    <t>M06VD</t>
  </si>
  <si>
    <t>0604VD</t>
  </si>
  <si>
    <t>72310VD</t>
  </si>
  <si>
    <t>06007VD</t>
  </si>
  <si>
    <t>06004VD</t>
  </si>
  <si>
    <t>340912279R00</t>
  </si>
  <si>
    <t>06005VD</t>
  </si>
  <si>
    <t>M21</t>
  </si>
  <si>
    <t>210220002RT2</t>
  </si>
  <si>
    <t>210220022RT1</t>
  </si>
  <si>
    <t>210220361RT1</t>
  </si>
  <si>
    <t>210220301RT2</t>
  </si>
  <si>
    <t>210220321R00</t>
  </si>
  <si>
    <t>222111003R00</t>
  </si>
  <si>
    <t>222111002R00</t>
  </si>
  <si>
    <t>21008VD</t>
  </si>
  <si>
    <t>220263113RT3</t>
  </si>
  <si>
    <t>210810046RT3</t>
  </si>
  <si>
    <t>210810045RT1</t>
  </si>
  <si>
    <t>210810050RT1</t>
  </si>
  <si>
    <t>210810041RT1</t>
  </si>
  <si>
    <t>21 - 00VD</t>
  </si>
  <si>
    <t>210010002RT1</t>
  </si>
  <si>
    <t>21003VD</t>
  </si>
  <si>
    <t>21002VD</t>
  </si>
  <si>
    <t>210010002R00</t>
  </si>
  <si>
    <t>210191013R00</t>
  </si>
  <si>
    <t>210201523R00</t>
  </si>
  <si>
    <t>210111021RT1</t>
  </si>
  <si>
    <t>210800547RT1</t>
  </si>
  <si>
    <t>21007VD</t>
  </si>
  <si>
    <t>21101VD</t>
  </si>
  <si>
    <t>21103VD</t>
  </si>
  <si>
    <t>0017VD</t>
  </si>
  <si>
    <t>21110VD</t>
  </si>
  <si>
    <t>21005VD</t>
  </si>
  <si>
    <t>21102VD</t>
  </si>
  <si>
    <t>210950101RT1</t>
  </si>
  <si>
    <t>M23</t>
  </si>
  <si>
    <t>230191007R00</t>
  </si>
  <si>
    <t>230200011R00</t>
  </si>
  <si>
    <t>28613123.M</t>
  </si>
  <si>
    <t>230194001R00</t>
  </si>
  <si>
    <t>230220016R00</t>
  </si>
  <si>
    <t>723120204R00</t>
  </si>
  <si>
    <t>230210013R00</t>
  </si>
  <si>
    <t>333010VD</t>
  </si>
  <si>
    <t>230195040R00</t>
  </si>
  <si>
    <t>723234901R00</t>
  </si>
  <si>
    <t>723191112R00</t>
  </si>
  <si>
    <t>723234221R00</t>
  </si>
  <si>
    <t>M46</t>
  </si>
  <si>
    <t>460030081RT3</t>
  </si>
  <si>
    <t>965042131RT2</t>
  </si>
  <si>
    <t>460030031RT1</t>
  </si>
  <si>
    <t>460030057RT1</t>
  </si>
  <si>
    <t>113106121R00</t>
  </si>
  <si>
    <t>113201111R00</t>
  </si>
  <si>
    <t>460070254RT1VD</t>
  </si>
  <si>
    <t>460490012RT1</t>
  </si>
  <si>
    <t>460270102RT1</t>
  </si>
  <si>
    <t>42291357</t>
  </si>
  <si>
    <t>422915501</t>
  </si>
  <si>
    <t>460620006RT1</t>
  </si>
  <si>
    <t>M72VD</t>
  </si>
  <si>
    <t>72306VD</t>
  </si>
  <si>
    <t>723 02VD</t>
  </si>
  <si>
    <t>723 01VD</t>
  </si>
  <si>
    <t>72304VD</t>
  </si>
  <si>
    <t>727311VD</t>
  </si>
  <si>
    <t>727312VD</t>
  </si>
  <si>
    <t>72303VD</t>
  </si>
  <si>
    <t>S</t>
  </si>
  <si>
    <t>979082212R00</t>
  </si>
  <si>
    <t>979981101R00</t>
  </si>
  <si>
    <t>Plynová kotelna pro vytápění ZŠ Doubrava</t>
  </si>
  <si>
    <t>Občanská vybavenost</t>
  </si>
  <si>
    <t>Obec Doubrava, č.p. 546,  735 33 Doubrava</t>
  </si>
  <si>
    <t>Zkrácený popis</t>
  </si>
  <si>
    <t>Rozměry</t>
  </si>
  <si>
    <t>Přípravné a přidružené práce</t>
  </si>
  <si>
    <t>Pohotovost čerp.soupravy, výška 10 m,přítok 1000 l</t>
  </si>
  <si>
    <t>Odstranění travin na ploše do 0,1 ha</t>
  </si>
  <si>
    <t>Dočasné zajištění kabelů - do počtu 3 kabelů</t>
  </si>
  <si>
    <t>Vedlejší náklady</t>
  </si>
  <si>
    <t>Hlídka po ukončení práce s otevř. ohněm</t>
  </si>
  <si>
    <t>Odkopávky a prokopávky</t>
  </si>
  <si>
    <t>Sejmutí ornice, pl. do 400 m2, přemístění do 50 m</t>
  </si>
  <si>
    <t>8,1*8,4*0,15</t>
  </si>
  <si>
    <t>Odkopávky nezapažené v hor. 2 do 100 m3</t>
  </si>
  <si>
    <t>Hloubené vykopávky</t>
  </si>
  <si>
    <t>Ruční výkop jam, rýh a šachet v hornině tř. 4</t>
  </si>
  <si>
    <t>26*0,4*0,9+3,5*0,4*0,7</t>
  </si>
  <si>
    <t>Přemístění výkopku</t>
  </si>
  <si>
    <t>Nakládání výkopku z hor.1-4 v množství do 100 m3</t>
  </si>
  <si>
    <t>8,4*8,1*0,3+7,07+21*0,015</t>
  </si>
  <si>
    <t>Vodorovné přemístění výkopku z hor.1-4 do 10000 m - odvoz na skládku</t>
  </si>
  <si>
    <t>Poplatek za skládku zeminy</t>
  </si>
  <si>
    <t>Konstrukce ze zemin, písek</t>
  </si>
  <si>
    <t>Uložení sypaniny do násypů zhutněných na 107% PS</t>
  </si>
  <si>
    <t>(29,5*0,4*0,45+26*0,5*0,1)*1,07</t>
  </si>
  <si>
    <t xml:space="preserve"> povrchů 10cm, koef.nerovn. výkopu, zhutnění  7%, š.0,4, v. 0,45,</t>
  </si>
  <si>
    <t>Zásyp rýh výkopkem ruční se zhutněním</t>
  </si>
  <si>
    <t>(26*0,4*(1-0,1-0,1-0,45)+3,5*0,4*(1-0,45-0,3))*1,07</t>
  </si>
  <si>
    <t>Písek kopaný žlutý</t>
  </si>
  <si>
    <t>7,07*1,62</t>
  </si>
  <si>
    <t>Podklad ze štěrkopísku po zhutnění tloušťky 22 cm</t>
  </si>
  <si>
    <t>8,1*8,4</t>
  </si>
  <si>
    <t>Vodorovná doprava suti a hmot po suchu do 6000 m</t>
  </si>
  <si>
    <t>11,45+30,298</t>
  </si>
  <si>
    <t>Zdi podpěrné a volné</t>
  </si>
  <si>
    <t>Zazdívka otvorů 0,0225 m2 pórobetonem, tl.15cm (potrubí)</t>
  </si>
  <si>
    <t>Zazdívka otvorů pl.do 0,25 m2 (odtahy spalin, reviz.otvor, přív.vzduchu, větrání)</t>
  </si>
  <si>
    <t>Mont. odvětrávací mřížky odtahů spalin</t>
  </si>
  <si>
    <t>Mřížka čtyřhranná KMM vel. 200x200.20</t>
  </si>
  <si>
    <t>Mont. větracích mřížek pr.125+ dod. trubka 0,3m</t>
  </si>
  <si>
    <t>Mřížka větrací PS kulatá d=125 mm se síťkou bílá</t>
  </si>
  <si>
    <t>Sloupy a pilíře, stožáry a rámové stojky</t>
  </si>
  <si>
    <t>Osazení sloupků a vzpěr plotových ocelových do výšky 2 m, vč.betonáže 0,02m3</t>
  </si>
  <si>
    <t>Sloupek plotový průměr 48 mm, poplastovaný, výška 210 cm</t>
  </si>
  <si>
    <t>vč. 3 ks zelených plastových úchytek a černého víčka.</t>
  </si>
  <si>
    <t>Vzpěra plotového sloupku 210 cm průměr 38 mm tl. 1,5 mm,  poplastovaná</t>
  </si>
  <si>
    <t>Objímka průměr 60 mm poplastovaná</t>
  </si>
  <si>
    <t>Objímka průměr 48 mm poplastovaná</t>
  </si>
  <si>
    <t>Schodiště</t>
  </si>
  <si>
    <t>Beton schodišťových konstrukcí C 16/20 - schod. stupně</t>
  </si>
  <si>
    <t>Zpevněné plochy (kromě vozovek a železničního svršku)</t>
  </si>
  <si>
    <t>Dlažba z kamene - zpětné osazení</t>
  </si>
  <si>
    <t>3,7*0,6+7,5*0,6</t>
  </si>
  <si>
    <t>Dlažba z dlaždic betonových do písku, - zpětné osazení</t>
  </si>
  <si>
    <t>1,3*0,6</t>
  </si>
  <si>
    <t>Zpětné zapravení zatravňovacích tvárnic vč. zásypu</t>
  </si>
  <si>
    <t>11*0,9</t>
  </si>
  <si>
    <t>Mazanina betonová tl. 8 - 12 cm C 35/45 - oprava povrchu po výkopu</t>
  </si>
  <si>
    <t>6,5*0,5*0,1</t>
  </si>
  <si>
    <t>Osazení dlažby zámkové, hutnění podkladu</t>
  </si>
  <si>
    <t>8,4*8,2-1,19*3*2</t>
  </si>
  <si>
    <t>Dlažba zámková tl. 6-8 cm</t>
  </si>
  <si>
    <t>61,74*1,02</t>
  </si>
  <si>
    <t>Úprava povrchů vnitřní</t>
  </si>
  <si>
    <t>Oprava cementových omítek stěn štukových do 10 %</t>
  </si>
  <si>
    <t>(6,04+2+4,82)*2,47</t>
  </si>
  <si>
    <t>Omítka stěn vnitřní jednovrstvá vápenocement. filc</t>
  </si>
  <si>
    <t>(6,04+2,62)*2,47</t>
  </si>
  <si>
    <t>Oprava váp.omítek stropů do 10% plochy - hrubých</t>
  </si>
  <si>
    <t>6,04*4,82</t>
  </si>
  <si>
    <t>Omítka malých ploch vnitřních stěn do 0,09 m2</t>
  </si>
  <si>
    <t>Úprava povrchů vnější</t>
  </si>
  <si>
    <t>Omítka cementová stěn zatřená dř.hladítkem, hladká</t>
  </si>
  <si>
    <t>Podlahy a podlahové konstrukce</t>
  </si>
  <si>
    <t>Mazanina betonová tl. 5 - 8 cm C 8/10</t>
  </si>
  <si>
    <t>(6,04-0,96)*1,9*0,07</t>
  </si>
  <si>
    <t>Mazanina betonová tl. 8 - 12 cm C 20/25 - podstavec pod kotle</t>
  </si>
  <si>
    <t>Výplně otvorů</t>
  </si>
  <si>
    <t>Osazení rámů okenních ocelových, plocha do 1 m2</t>
  </si>
  <si>
    <t>Okno plastové jednodílné 60 x 55 cm otevíratelné</t>
  </si>
  <si>
    <t>Osazení zárubní dveřních ocelových, 80x197*11 vč. dod. zárubně</t>
  </si>
  <si>
    <t>Osazení prahů bukových vč. dod. prahu</t>
  </si>
  <si>
    <t>Dveře požární EI(EW)30DP3C3  80x197 cm</t>
  </si>
  <si>
    <t>Osazení kování, zámku a vložky Fab</t>
  </si>
  <si>
    <t>Dveřní kování, zámek, vložka FAB</t>
  </si>
  <si>
    <t>Izolace tepelné potrubí</t>
  </si>
  <si>
    <t>Odstranění izolačních pásů  potrubí</t>
  </si>
  <si>
    <t>Izolace návleková potrubí DN15 a PPr20, tl. stěny 6 mm (doplň.do syst+SV)</t>
  </si>
  <si>
    <t>Izolace návleková potrubí PPr20, tl. stěny 20 mm (TV od ohřívače)</t>
  </si>
  <si>
    <t>Izolace minerální pouzdro s povrch.úpr., 0,038 W/m*K, DN40 / tl.50</t>
  </si>
  <si>
    <t>Izolace návleková DN20, pěn.polyetylen, tl.20 mm, vč.přelepení páskou</t>
  </si>
  <si>
    <t>Izolace návleková DN25, pěn.polyetylen, tl.20 mm, vč.přelepení páskou</t>
  </si>
  <si>
    <t>Izolace návleková DN32, pěn.polyetylen, tl.20 mm, vč.přelepení páskou</t>
  </si>
  <si>
    <t>Izolace návleková DN40, pěn.polyetylen, tl.20 mm, vč.přelepení páskou</t>
  </si>
  <si>
    <t>Izolace návleková DN50, pěn.polyetylen, tl.20 mm, vč.přelepení páskou</t>
  </si>
  <si>
    <t>Izolace návleková D76, pěn.polyetylen, tl.20 mm, vč.přelepení páskou</t>
  </si>
  <si>
    <t>Protipož. utěsnění kabelů EI 45 (místn.topiče)</t>
  </si>
  <si>
    <t>Protipož. utěsnění potrubí  EI 45 (do vstupní místn.před kotelnou)</t>
  </si>
  <si>
    <t>Protipož. utěsnění skupiny kabelů EI 45 (u dveří vstupu do kotelny)</t>
  </si>
  <si>
    <t>Vnitřní kanalizace</t>
  </si>
  <si>
    <t>Vpusť podlahová s mřížkou</t>
  </si>
  <si>
    <t>Potrubí HT připojovací D 32 x 1,8 mm</t>
  </si>
  <si>
    <t>Hadice odvodu kondenzátu - 3/4" plastová, s výpletem</t>
  </si>
  <si>
    <t>Potrubí HT připojovací D 50 x 1,8 mm (odvětrání WC)</t>
  </si>
  <si>
    <t>Oprava potrubí PVC odpadní, vsazení odbočky D 50 (odvětrání WC)</t>
  </si>
  <si>
    <t>Mřížka větrací PVC bílá d = 50 mm</t>
  </si>
  <si>
    <t>Vnitřní vodovod</t>
  </si>
  <si>
    <t>Zazátkování vývodu DN15-20</t>
  </si>
  <si>
    <t>Demontáž potrubí ocelových závitových DN 25</t>
  </si>
  <si>
    <t>Demontáž rozvodů vody z plastů do D 32</t>
  </si>
  <si>
    <t>Demontáž potrubí z měděných trubek do D 28</t>
  </si>
  <si>
    <t>Oprava-potrubí závitové DN32,vsazení odbočky</t>
  </si>
  <si>
    <t>Oprava-potrubí závitové,vsazení odbočky, napojení nového úseku DN 20</t>
  </si>
  <si>
    <t>Potrubí z PPR D20 x 3,4 mm, PN 20</t>
  </si>
  <si>
    <t>Příplatek za malý rozsah do 20 m rozvodu</t>
  </si>
  <si>
    <t>Kohout vod.kulový DN 15</t>
  </si>
  <si>
    <t>Tlaková zkouška vodovodního potrubí do DN 32</t>
  </si>
  <si>
    <t>Proplach vodovodního potrubí</t>
  </si>
  <si>
    <t>Dod.+mont.el.tlakového průtokového ohřívače TV 400V/11 kW 3f.</t>
  </si>
  <si>
    <t>Vnitřní plynovod</t>
  </si>
  <si>
    <t>Potrubí ocelové hladké černé svařované D 57x2,9 - chráničky</t>
  </si>
  <si>
    <t>Potrubí ocelové hladké černé svařované D 44,5x2,6</t>
  </si>
  <si>
    <t>Potrubí ocelové závitové černé svařované DN 40</t>
  </si>
  <si>
    <t>Potrubí ocelové hladké černé svařované D 38x2,6</t>
  </si>
  <si>
    <t>Potrubí ocelové závitové černé svařované DN 32</t>
  </si>
  <si>
    <t>Potrubí ocelové závitové černé svařované DN 20</t>
  </si>
  <si>
    <t>Potrubí ocelové závitové černé svařované DN 15</t>
  </si>
  <si>
    <t>Šroubení přímé DN 20</t>
  </si>
  <si>
    <t>Kohout kulový, vnitř.-vnitř.z.  DN 32</t>
  </si>
  <si>
    <t>Kohout kulový,vnitřní-vnitřní z. DN 20</t>
  </si>
  <si>
    <t>Kohout kulový,vnitřní-vnitřní z.  DN 15</t>
  </si>
  <si>
    <t>Vyvedení a upevnění plynovodních výpustek DN 15, záslepka</t>
  </si>
  <si>
    <t>Odvzdušnění a napuštění plynového potrubí</t>
  </si>
  <si>
    <t>Zkouška tlaková a zkouška těsnosti plynového potrubí</t>
  </si>
  <si>
    <t>Kulový kohout připojení manometru s nulováním TK1020 M20x1/2"</t>
  </si>
  <si>
    <t>Manometr pr. 100-160, 0-6 KPa</t>
  </si>
  <si>
    <t>El. mag. ventil 6/4"typ PEVEKO EVPE 1040.02</t>
  </si>
  <si>
    <t>Redukce G6/4" x G5/4"</t>
  </si>
  <si>
    <t>Kotelny</t>
  </si>
  <si>
    <t>Vypouštění vody z kotlů samospádem do 5 m2</t>
  </si>
  <si>
    <t>Demontáž kotle litinového Viadrus U26 10 čl.</t>
  </si>
  <si>
    <t>Demontáž kotle litinového VSB I, E I, 10 čl.</t>
  </si>
  <si>
    <t>Montáž kondenzačního stacionárního kotle 100 kW, přestavba na propan</t>
  </si>
  <si>
    <t>Plyn.kotel kond. ZP, 17,2-100 kW, š/h/v-670/594/1520 prov.levé</t>
  </si>
  <si>
    <t>Plyn.kotel kond. ZP, 17,2-100 kW, š/h/v-670/594/1520 prov.pravé</t>
  </si>
  <si>
    <t>Přestavbová sada zemní plyn / propan - kotel 100 kW</t>
  </si>
  <si>
    <t>Pojistná skupina kotle 3 bar / 1" /100 kW - dod. výrobce kotle</t>
  </si>
  <si>
    <t>Montáž sání vzduchu a odkouření kondenzačního kotle</t>
  </si>
  <si>
    <t>Připojovací sada pro nasávání spalovacího vzduchu do kotle z potrubí</t>
  </si>
  <si>
    <t>Odt.spalin - připojovací kus DN110 s měřícím otvorem</t>
  </si>
  <si>
    <t>Odt.spalin - sada šachty DN125 (sestava komponent C,D,H,I,J,K)</t>
  </si>
  <si>
    <t>Odt.spalin - trubka DN110, 500mm vč.obj.a těsnění</t>
  </si>
  <si>
    <t>Odt.spalin - trubka DN110, 1000mm vč.obj.a těsnění</t>
  </si>
  <si>
    <t>Odt.spalin - trubka DN110, 2000mm vč.obj.a těsnění</t>
  </si>
  <si>
    <t>Odt.spalin - trubka DN125, 500mm vč.obj.a těsnění</t>
  </si>
  <si>
    <t>Odt.spalin - trubka DN125, 1000mm vč.obj.a těsnění</t>
  </si>
  <si>
    <t>Odt.spalin - trubka DN125, 2000mm vč.obj.a těsnění</t>
  </si>
  <si>
    <t>Odt.spalin - revizní trubka DN125</t>
  </si>
  <si>
    <t>Odt.spalin - odváděč kondenz.ze sání DN125 s měř.otvorem</t>
  </si>
  <si>
    <t>Odt.spalin - koleno DN110 - 87°</t>
  </si>
  <si>
    <t>Odt.spalin - koleno DN110 - 45°</t>
  </si>
  <si>
    <t>Odt.spalin - koleno DN125 - 87°</t>
  </si>
  <si>
    <t>Odt.spalin - redukce DN125 / DN110°</t>
  </si>
  <si>
    <t>Modul řízení kotlového čerpadla signálem 0-10 V   (dod. výrobce kotle)</t>
  </si>
  <si>
    <t>Modul regulace pro směšovaný okruh vč. čidla teploty okruhu   (dod. výrobce kotle)</t>
  </si>
  <si>
    <t>Kaskádový modul pro řazení kotlů vč. čidla anuloidu (dod. výrobce kotle)</t>
  </si>
  <si>
    <t>Regulátor vytápění vč. venk. čidla  (dod.výr.kotle)</t>
  </si>
  <si>
    <t>Ovládací display kotle (dod.výr.kotle)</t>
  </si>
  <si>
    <t>Instalace neutralizačního zařízení z dodávky výrobce kotlů</t>
  </si>
  <si>
    <t>Neutralizační box pro výkony do 800 kW</t>
  </si>
  <si>
    <t>Náhradní náplň neutralizačního granulátu 10 kg</t>
  </si>
  <si>
    <t>Strojovny</t>
  </si>
  <si>
    <t>Vypuštění vody ze systému ÚV a nádrží</t>
  </si>
  <si>
    <t>Odpojení nádrží 250 L od rozvodů potrubí a demontáž</t>
  </si>
  <si>
    <t>Demontáž těles rozdělovačů a sběračů, DN 200 mm</t>
  </si>
  <si>
    <t>Demontáž čerpadel oběhových spirálních DN 100</t>
  </si>
  <si>
    <t>Demontáž čerpadel oběhových spirálních DN 25-40</t>
  </si>
  <si>
    <t>Demontáž ohříváků zásobníkových ležatých do 630 l</t>
  </si>
  <si>
    <t>Sada termohydraulického rozdělovače - dod. výr.kotle</t>
  </si>
  <si>
    <t>KOMBI rozdělovač / sběrač - délka 1,98 m, modul 120, 4-okruhový vč. izolace a konzole</t>
  </si>
  <si>
    <t>Dod. a montáž nádoby expanzní tlakové 250 l / 6 bar, 1"</t>
  </si>
  <si>
    <t>Dod. a montáž nádoby expanzní tlakové 8 l / 6 bar, 3/4"</t>
  </si>
  <si>
    <t>Oběh. čerp. DN25/180mm, 230V, 9-91W, PN6/10, 5,5 m3/hod / 25 kPa s autoadapt.f-cí</t>
  </si>
  <si>
    <t>Oběh. čerp. DN25/180mm, 230V, 9-91W, PN6/10, 4,3 m3/hod / 35 kPa s ovlád. 0-10V</t>
  </si>
  <si>
    <t>Oběh. čerp. DN25/180mm, 230V, 9-56W, PN6/10, 3,5 m3/hod / 25 kPa s autoadapt.f-cí</t>
  </si>
  <si>
    <t>Oběh. čerp. DN25/180mm, 230V, 3-34W, PN6/10, 1,5 m3/hod / 25 kPa s autoadapt.f-cí</t>
  </si>
  <si>
    <t>Doplňovací automat REFLEX FILLCONTROL PLUS COMPACT + externí tlak.čidlo</t>
  </si>
  <si>
    <t>Odsolovací filtr Katex/anex, napojení 1", objem 25 L, plná demineralizace</t>
  </si>
  <si>
    <t>Napojovací sestava pro plnou demineralizaci -uzavírací arm., nerez hadice (1")</t>
  </si>
  <si>
    <t>Digitální měřič vodivosti s teplotní kompenzací</t>
  </si>
  <si>
    <t>Dávkovací čerpadlo inhibitoru koroze, proporcionální dávkování, zásobní nádrž</t>
  </si>
  <si>
    <t>Inhibitor koroze Korrodex 332, balení 20 kg (přímá specif., bezpečnostní prvek)</t>
  </si>
  <si>
    <t>Rozvod potrubí</t>
  </si>
  <si>
    <t>Demontáž potrubí z hladkých trubek D 133-159</t>
  </si>
  <si>
    <t>Demontáž potrubí z hladkých trubek D 76-110</t>
  </si>
  <si>
    <t>Potrubí hladké bezešvé v kotelnách D 76 x 3,2 mm</t>
  </si>
  <si>
    <t>Potrubí závit. běžné svařované v kotelnách DN 50</t>
  </si>
  <si>
    <t>Potrubí závit. běžné svařované v kotelnách DN 40</t>
  </si>
  <si>
    <t>Potrubí závit. běžné svařované v kotelnách DN 32</t>
  </si>
  <si>
    <t>Potrubí závit. běžné svařované v kotelnách DN 25</t>
  </si>
  <si>
    <t>Potrubí závit. běžné svařované v kotelnách DN 20</t>
  </si>
  <si>
    <t>Potrubí závit. běžné svařované v kotelnách DN 15</t>
  </si>
  <si>
    <t>Příplatek za zhotovení přípojek DN40</t>
  </si>
  <si>
    <t>Oprava-zaslepení potrubí dýnkem DN40-DN65 mm</t>
  </si>
  <si>
    <t>Armatury</t>
  </si>
  <si>
    <t>3-cest. směšovací armatura závitová 6/4", Kvs=25, posuvný chod</t>
  </si>
  <si>
    <t>3-cest. směšovací armatura závitová 5/4", Kvs=16, posuvný chod</t>
  </si>
  <si>
    <t>Pohon 3-cest směšovače 230 V, 3 bod, 120 sec</t>
  </si>
  <si>
    <t>3-cest.směš.armatura 1" Kvs=6,3, posuvný chod, vč.pohonu 230 V, 3 bod, 120 s</t>
  </si>
  <si>
    <t>Přírubový Y filtr s magnetickou vložkou, 2 příruby, PN 1,6, DN 65</t>
  </si>
  <si>
    <t>Mezipřírubová uzavírací klapka, PN 1,6, DN 65</t>
  </si>
  <si>
    <t>Kohout kulový DN 50</t>
  </si>
  <si>
    <t>Kohout kulový DN40</t>
  </si>
  <si>
    <t>Kohout kulový DN 32</t>
  </si>
  <si>
    <t>Kohout kulový DN 20</t>
  </si>
  <si>
    <t>Kohout kulový DN 15</t>
  </si>
  <si>
    <t>Kohout kulový s odv.2xvnitř.z.DN 25</t>
  </si>
  <si>
    <t>Kohout kulový s odv.2xvnitř.z.DN 20</t>
  </si>
  <si>
    <t>Kohout kulový s odv.2xvnitř.z.DN 15</t>
  </si>
  <si>
    <t>Klapka zpětná bezpružinová DN 50, bez demontovatelně čistitelná</t>
  </si>
  <si>
    <t>Klapka zpětná pružinová DN 25</t>
  </si>
  <si>
    <t>Ventil pojistný DN 15 / 8 bar</t>
  </si>
  <si>
    <t>Ventil pojistný DN 15 / 6 bar</t>
  </si>
  <si>
    <t>Šroubení DN 50</t>
  </si>
  <si>
    <t>Šroubení DN 40</t>
  </si>
  <si>
    <t>Šroubení DN 32</t>
  </si>
  <si>
    <t>Šroubení DN 25</t>
  </si>
  <si>
    <t>Šroubení DN 20</t>
  </si>
  <si>
    <t>Šroubení DN 15</t>
  </si>
  <si>
    <t>Šroubení 1" / 6/4" k čerpadlu DN25</t>
  </si>
  <si>
    <t>Tlakoměr deformační 0-600 kPa / 1,6 / D 160 + red na připojení 1/2"</t>
  </si>
  <si>
    <t>Tlakoměr deformační 0-1 MPa, D 63 připojení 1/2" (nebo redukce)</t>
  </si>
  <si>
    <t>Vodoměr bytový DN 15x80 mm, Qn 2,5</t>
  </si>
  <si>
    <t>Ventil odvzdušňovací automat. (počet cca)</t>
  </si>
  <si>
    <t>Kohout kulový výtokový  DN 15 (počet cca)</t>
  </si>
  <si>
    <t>Redukce G 2" x 1"</t>
  </si>
  <si>
    <t>Redukce G 2" x 6/4"</t>
  </si>
  <si>
    <t>Redukce G6/4" x G1"</t>
  </si>
  <si>
    <t>Redukce G5/4" x G1"</t>
  </si>
  <si>
    <t>Fitink blíže nespecifikovaný (dvojsuvky a pod.)</t>
  </si>
  <si>
    <t>Přírubové spoje PN 0,6/I MPa, DN 65 (dodávka jen jedné příruby)</t>
  </si>
  <si>
    <t>Otopný systém</t>
  </si>
  <si>
    <t>2x proplach otopných těles + rozvodů + napušť. systému, prvotní odvzdušnění</t>
  </si>
  <si>
    <t>377*3</t>
  </si>
  <si>
    <t>Konstrukce tesařské</t>
  </si>
  <si>
    <t>Bednění - schody, podstavec</t>
  </si>
  <si>
    <t>Demontáž bednění</t>
  </si>
  <si>
    <t>Konstrukce klempířské</t>
  </si>
  <si>
    <t>Plechová skřínka z lak. plechu uzavíratelná, min.rozměr 50x35x35 cm</t>
  </si>
  <si>
    <t>Konstrukce doplňkové stavební (zámečnické)</t>
  </si>
  <si>
    <t>Dod.+montáž samozavírače hydraulického s atestem pro požární dveře</t>
  </si>
  <si>
    <t>Dod.+mont. odnímatelný nerez rámek 800x700 se síťovinou okatost 10</t>
  </si>
  <si>
    <t>Montáž oplocení z pletiva v.do 2,0 m,napínací drát</t>
  </si>
  <si>
    <t>Montáž oplocení - středového drátu</t>
  </si>
  <si>
    <t>Montáž vrat na ocelové sloupky, plochy do 2 m2</t>
  </si>
  <si>
    <t>Poplastované pletivo 160 cm se zapleteným drátem, oko 50 mm</t>
  </si>
  <si>
    <t>Zapletený napínací drát (nahoře a dole) průměr 3,5mm, (z toho 2,5mm ocelové,</t>
  </si>
  <si>
    <t>žárově zinkované jádro). Barva jedlová zeleň (RAL 6005).</t>
  </si>
  <si>
    <t>Středový napínací drát poplastovaný</t>
  </si>
  <si>
    <t>Napínák M6 oko-oko - pozinkovaná ocel</t>
  </si>
  <si>
    <t>Vstupní branka 160 cm, šířky 100 cm, uzamykatelná</t>
  </si>
  <si>
    <t>Včetně kování a vložky FAB, vyplet 4-hranným (klasickým) pletivem 50 mm oka.</t>
  </si>
  <si>
    <t>Celková šíře branky včetně sloupků cca 115 mm.</t>
  </si>
  <si>
    <t>Sloupky pantový a dorazový pr. 60 mm jsou součástí dodávky branky.</t>
  </si>
  <si>
    <t>Montáž výstražné tabulky</t>
  </si>
  <si>
    <t>Výstražná tabulka</t>
  </si>
  <si>
    <t>Demontáž drátěného pletiva výšky do 1,4 m</t>
  </si>
  <si>
    <t>Napojení stávajícího oplocení na nové sloupky</t>
  </si>
  <si>
    <t>Podlahy z dlaždic</t>
  </si>
  <si>
    <t>Podlaha, povrch sokle, sch.stupně, podstavec keramická dlažba 20x20 cm</t>
  </si>
  <si>
    <t>6,04*4,82+ 1,1*3,05</t>
  </si>
  <si>
    <t>Obklad soklíků hutných schod.stup.do MC, 20x10v20</t>
  </si>
  <si>
    <t>1,5*2+0,96+1,4+1,1+1,2</t>
  </si>
  <si>
    <t>Obklad soklíků hutných, rovných do MC, 20x10v10</t>
  </si>
  <si>
    <t>4,62+(4,62-1,5)+6,04+(6,04-0,96)+2*1,46+2*0,73</t>
  </si>
  <si>
    <t>Provedení penetrace podkladu pod dlažby</t>
  </si>
  <si>
    <t>32,47+7,66*0,15+23,24*0,1</t>
  </si>
  <si>
    <t>Dlažba keramická 200x200 (300x300) x9 mm</t>
  </si>
  <si>
    <t>(32,47+7,66*0,15)*1,08</t>
  </si>
  <si>
    <t>Keramický obklad 10 cm po obvodu u podlahy</t>
  </si>
  <si>
    <t>23,24*0,1*1,08</t>
  </si>
  <si>
    <t>Nátěry</t>
  </si>
  <si>
    <t>Značení</t>
  </si>
  <si>
    <t>Nátěr syntetický potrubí do DN 50 mm  Z + 1x email</t>
  </si>
  <si>
    <t>Nátěr syntetický potrubí do DN 100 mm  Z + 1x email</t>
  </si>
  <si>
    <t>Nátěr syntet. potrubí do DN 50 mm  Z 2x +2x email</t>
  </si>
  <si>
    <t>Bourání konstrukcí</t>
  </si>
  <si>
    <t>Bourání mazanin betonových tl. 10 cm, pl. do1 m2 (šikmina u bud. dveří)</t>
  </si>
  <si>
    <t>Bourání zdiva komínového z cihel (kouřovody)</t>
  </si>
  <si>
    <t>Vybourání okenních rámů, plochy do 1m2</t>
  </si>
  <si>
    <t>Malby</t>
  </si>
  <si>
    <t>Zakrytí podlah</t>
  </si>
  <si>
    <t>Malba klihová 1x,1barva, pačok 2x, místn. do 3,8 m</t>
  </si>
  <si>
    <t>(6,04+4,82)*2*2,47+6,04*4,82+5*0,5+6*1</t>
  </si>
  <si>
    <t>Hasicí zařízení</t>
  </si>
  <si>
    <t>Dod. + osazení hasicího přístroje S5 vč.držáku</t>
  </si>
  <si>
    <t>Dod. + osazení hasicího přístroje práškového vč.držáku, hasící schopnost 34A</t>
  </si>
  <si>
    <t>Doplňující konstrukce a práce na pozemních komunikacích a zpevněných plochách</t>
  </si>
  <si>
    <t>Osazení ležat. obrub. bet. bez opěr,lože z C 12/15</t>
  </si>
  <si>
    <t>Obrubník parkový betonový 80x250x1000 mm</t>
  </si>
  <si>
    <t>Různé dokončovací konstrukce a práce inženýrských staveb</t>
  </si>
  <si>
    <t>Osazení doplňkových konstrukcí z ŽB do 0,5 t (panely) vč. dopravy</t>
  </si>
  <si>
    <t>Osazení zásobníků propanu na panely vč. dopravy</t>
  </si>
  <si>
    <t>Upevnění zásobníků propanu na chemické kotvy</t>
  </si>
  <si>
    <t>Prorážení otvorů a ostatní bourací práce</t>
  </si>
  <si>
    <t>Vrtání otvorů, zdi betonové, do 3 cm,  cca 45 cm</t>
  </si>
  <si>
    <t>Vybourání otvorů zdi betonové d = 6 cm, cca. 45 cm</t>
  </si>
  <si>
    <t>Vybourání otvorů zdi betonové 0,0225 m2, tl. cca 45 cm</t>
  </si>
  <si>
    <t>Vrtání otvorů, zdi / stropy betonové, do 3 cm, hl. do 45 cm</t>
  </si>
  <si>
    <t>Vrtání otvorů, zeď cihelná, do 3 cm, hl. do 45 cm</t>
  </si>
  <si>
    <t>Budovy občanské výstavby</t>
  </si>
  <si>
    <t>Přesun hmot pro budovy zděné výšky do 6 m</t>
  </si>
  <si>
    <t>Nádrže a jímky čistíren vod a ostatní pozemní nádrže, jímky, zásobníky, jámy</t>
  </si>
  <si>
    <t>Přesun hmot, zásobníky propan 4850 L</t>
  </si>
  <si>
    <t>Objekty pozemní</t>
  </si>
  <si>
    <t>Přesun hmot, oplocení a související</t>
  </si>
  <si>
    <t>Komunikace pozemní a letiště</t>
  </si>
  <si>
    <t>Přesun hmot, pozemní komunikace, kryt dlážděný aj.</t>
  </si>
  <si>
    <t>Plochy a úpravy území</t>
  </si>
  <si>
    <t>Přesun hmot zemních prací při montážích</t>
  </si>
  <si>
    <t>Vedení trubní dálková a přípojná</t>
  </si>
  <si>
    <t>Přesun hmot, trubní vedení plastová / ocelová, otevř. výkop</t>
  </si>
  <si>
    <t>Vedení elektrická</t>
  </si>
  <si>
    <t>Přesun hmot elektro montážních prací</t>
  </si>
  <si>
    <t>Izolace tepelné</t>
  </si>
  <si>
    <t>Přesun hmot pro izolace tepelné, výšky do 6 m</t>
  </si>
  <si>
    <t>Přesun hmot pro vnitřní kanalizaci, výšky do 6 m</t>
  </si>
  <si>
    <t>Přesun hmot pro vnitřní vodovod, výšky do 6 m</t>
  </si>
  <si>
    <t>Přesun hmot pro vnitřní plynovod, výšky do 6 m</t>
  </si>
  <si>
    <t>Přesun hmot pro kotelny, výšky do 6 m</t>
  </si>
  <si>
    <t>Přesun hmot pro strojovny, výšky do 6 m</t>
  </si>
  <si>
    <t>Přesun hmot pro rozvody potrubí, výšky do 6 m</t>
  </si>
  <si>
    <t>Přesun hmot pro armatury, výšky do 6 m</t>
  </si>
  <si>
    <t>Šrotové hospodářství</t>
  </si>
  <si>
    <t>Nakladání šrotu na dopr. prostř., manipulace</t>
  </si>
  <si>
    <t>Odvoz šrotu do sběru</t>
  </si>
  <si>
    <t>Výtěžek z prodeje šrotu (záporná položka rozpočtu)</t>
  </si>
  <si>
    <t>Uvádění zařízení do provozu, seřízení</t>
  </si>
  <si>
    <t>Uvední kotle nad 50 kW do provozu, seřízení, vystavení protokolu</t>
  </si>
  <si>
    <t>Seřízení regulace, zkoušky  systému vč.simulace poruch.stavů, protokol</t>
  </si>
  <si>
    <t>Uvedení a seřízení do provozu doplňovacího automatu FILLCONTROL</t>
  </si>
  <si>
    <t>Uvedení do provozu demineralizačního zařízení a čerp.dávkování inhibitoru</t>
  </si>
  <si>
    <t>Zaučení obsluhy</t>
  </si>
  <si>
    <t>Finální podoba návrhu provozního řádu, dokumentace, revizní kniha</t>
  </si>
  <si>
    <t>Elektromontáže</t>
  </si>
  <si>
    <t>Vedení uzemňovací na povrchu FeZn D 10 mm</t>
  </si>
  <si>
    <t>Vedení uzemňovací v zemi FeZn, D 10 mm</t>
  </si>
  <si>
    <t>Zemnič tyčový, zaražení a připojení, do 2 m</t>
  </si>
  <si>
    <t>Zemnič tyčový, upravený pro zemnění autocisterny, zaražení a připojení, do 2 m</t>
  </si>
  <si>
    <t>Svorka hromosvodová</t>
  </si>
  <si>
    <t>Svorka zemnící na potrubí, včetně Cu pásku</t>
  </si>
  <si>
    <t>Rozvaděč na omítku 2X12P/SMD</t>
  </si>
  <si>
    <t>Hlavní vypínač dvoupolový červený, montáž na boku rozváděče</t>
  </si>
  <si>
    <t>Jistič B6A na DIN lištu</t>
  </si>
  <si>
    <t>Jistič B16A na DIN lištu</t>
  </si>
  <si>
    <t>Proudový chránič s jističem 6A - B / 30 mA na DIN lištu</t>
  </si>
  <si>
    <t>Proudový chránič s jističem 13A - B / 30 mA na DIN lištu</t>
  </si>
  <si>
    <t>Kabel.žlab s integr.spojkou 35x100 mm bez víka, vč. příslušenství</t>
  </si>
  <si>
    <t>Kabel CYKY-m 750 V 3 x 2,5 mm2 pevně uložený (mat. vč. uložení)</t>
  </si>
  <si>
    <t>Kabel CYKY-m 750 V 3 x 1,5 mm2 pevně uložený (mat. vč. uložení)</t>
  </si>
  <si>
    <t>Kabel CYKY-m 4 x 1,5 mm2 pevně uložený (mat.vč. uložení)</t>
  </si>
  <si>
    <t>Kabel  JYTY 2 x 1 mm2 pevně uložený (mat.vč uložení)</t>
  </si>
  <si>
    <t>Montáž nástěnných modulů regulace z dod. výr. kotle</t>
  </si>
  <si>
    <t>Dopojení koncového zařízení (kotel, čerp., čidlo MaR, modul mimo rozváděč, světlo aj.)</t>
  </si>
  <si>
    <t>Detektor úniku plynu PROPAN typ ADDAT GS120 /230V</t>
  </si>
  <si>
    <t>Drobný materiál (instalační krabice, hmoždinky, šrouby, lišty)</t>
  </si>
  <si>
    <t>Manostat minimálního (0,9 bar) tlaku v systému</t>
  </si>
  <si>
    <t>Manostat maximálního (2,8 bar) tlaku v systému</t>
  </si>
  <si>
    <t>Světlo nouzového osvětlení, samonabíjecí, záloha 60 minut</t>
  </si>
  <si>
    <t>Svítidlo LED dvouzářivkové 120 cm vč. zářivek studená bílá</t>
  </si>
  <si>
    <t>Zásuvka domovní v krabici - provedení 2P+PE</t>
  </si>
  <si>
    <t>Vodič H07V-U (CY) 6 mm2 žlutozelený, uložený pevně</t>
  </si>
  <si>
    <t>Snímač zaplavení podlahy LD-12 (Jablotron)</t>
  </si>
  <si>
    <t>Vystrojení rozvaděče základními prvky (mimo osazení a zapojení jističů, vypínače)</t>
  </si>
  <si>
    <t>Modul automatického jištění kotelny AJK6 - ADDAT s.r.o</t>
  </si>
  <si>
    <t>Stykač 230 V 10-25 A na DIN lištu</t>
  </si>
  <si>
    <t>Elektroměr 0,025-45 A 230 V, ověřený, na DIN lištu</t>
  </si>
  <si>
    <t>Termostat přehřátí prostoru kotelny 40°C</t>
  </si>
  <si>
    <t>Detektor CO Honeywell XC100D-CS (přímá specifikace - bezpečnostní prvek)</t>
  </si>
  <si>
    <t>GSM modul + ext. anténa + SIM karta</t>
  </si>
  <si>
    <t>Štítek označovací na kabel</t>
  </si>
  <si>
    <t>Montáže potrubí plyn - venkovní část</t>
  </si>
  <si>
    <t>Dod. a uložení chráničky ve výkopu PE 63x3,0mm</t>
  </si>
  <si>
    <t>Dod. a montáž plynovodu PE40x3,7 SDR11, uložení do chráničky</t>
  </si>
  <si>
    <t>Elektrotvarovka PE40 SDR11 / ocel DN32</t>
  </si>
  <si>
    <t>Utěsnění chráničky manžetou DN 50 vč. dodávky manžet a spon</t>
  </si>
  <si>
    <t>Dod. a montáž teleskop.čichačky na plynovod DN 40 vč.plast.víčka</t>
  </si>
  <si>
    <t>Kohout kulový, vnitř.-vnitř.z. DN 25</t>
  </si>
  <si>
    <t>Potrubí ocelové závitové černé svařované DN 25</t>
  </si>
  <si>
    <t>Ruční opláštění ovinem hliník/pet páskou za studena (ochrana před ÚV zářením) - 2 vrst.</t>
  </si>
  <si>
    <t>2*2*0,048</t>
  </si>
  <si>
    <t>Samolepící hliníková páska krytá PET fólií, š.48 mm</t>
  </si>
  <si>
    <t>2,0</t>
  </si>
  <si>
    <t>Dod.+mont. tyče pro uchycení chráničky a potrubí vystupující nad terén</t>
  </si>
  <si>
    <t>Telemetrické měření stavu zásobníku dodavatele plynu (dot.cena, dod.dodav. plynu)</t>
  </si>
  <si>
    <t>Hadice flexi propoj zásobník/potrubí (dot.cena, dod.dodavatele plynu)</t>
  </si>
  <si>
    <t>Regulátor tlaku VTL/NTL 3,2 kPa/10-12 m3/hod vč. bezp.výstroje (dot.cena)</t>
  </si>
  <si>
    <t>Zemní práce při montážích</t>
  </si>
  <si>
    <t>Řezání spáry v betonu</t>
  </si>
  <si>
    <t>Bourání mazanin betonových  tl. 10 cm, pl do 4m2</t>
  </si>
  <si>
    <t>Vytrhání kostek velkých,lože písek, nezalité spáry</t>
  </si>
  <si>
    <t>3,7*0.6+7,5*0,6</t>
  </si>
  <si>
    <t>Vytrhání zatravňovacích beton. tvárnic</t>
  </si>
  <si>
    <t>Rozebrání dlažeb z betonových dlaždic na sucho vč. přesunu hmot do 3m</t>
  </si>
  <si>
    <t>Vytrhání obrubníků chodníkových ke znovupoužití vč. přesunu hmot do 3m</t>
  </si>
  <si>
    <t>Jáma pro patici sloupku, hor.2-4</t>
  </si>
  <si>
    <t>Fólie výstražná z PVC, šířka 33 cm, barva žlutá</t>
  </si>
  <si>
    <t>Osazení zemní soupravy - poklop litinový + podkladní deska</t>
  </si>
  <si>
    <t>Zemní souprava šoupátková litinová, nápis plyn</t>
  </si>
  <si>
    <t>Deska nosná šoupátkového poklopu</t>
  </si>
  <si>
    <t>Osetí povrchu trávou</t>
  </si>
  <si>
    <t>Revize a zkoušky</t>
  </si>
  <si>
    <t>Certifikát posouzení sestavy tlakového zařízení notifik. osobou</t>
  </si>
  <si>
    <t>Revize TNS (tlakové nádoby stabilní - expanzní nádoby 250 L)</t>
  </si>
  <si>
    <t>Revize plynového zařízení</t>
  </si>
  <si>
    <t>Revize kouřových cest</t>
  </si>
  <si>
    <t>Revize elektro zařízení</t>
  </si>
  <si>
    <t>Kalibrace čidla  PROPAN a vystavení protokolu</t>
  </si>
  <si>
    <t>Topná zkouška 72 hod</t>
  </si>
  <si>
    <t>Odpadové hospodářství</t>
  </si>
  <si>
    <t>Vodorovná doprava vybouraných hmot a suti do 50 m</t>
  </si>
  <si>
    <t>Kontejner 3tuny, suť aj. bez nebezp.odpadu, odvoz a likvidace (2x3 t)</t>
  </si>
  <si>
    <t>Doba výstavby:</t>
  </si>
  <si>
    <t>Začátek výstavby:</t>
  </si>
  <si>
    <t>Konec výstavby:</t>
  </si>
  <si>
    <t>Zpracováno dne:</t>
  </si>
  <si>
    <t>31 dní</t>
  </si>
  <si>
    <t>05.06.2022</t>
  </si>
  <si>
    <t>18.12.2021</t>
  </si>
  <si>
    <t>Objednatel:</t>
  </si>
  <si>
    <t>Projektant:</t>
  </si>
  <si>
    <t>Zhotovitel:</t>
  </si>
  <si>
    <t>Zpracoval:</t>
  </si>
  <si>
    <t>Pro případ vytrvalého deště - čerpání z výkopu</t>
  </si>
  <si>
    <t>Plocha oplocení zásobníků</t>
  </si>
  <si>
    <t>v místě zpevněných ploch rovněž vč. podkladní vrstvy</t>
  </si>
  <si>
    <t>materiál nahrazený pískem, betonem, štěrkopískem aj.</t>
  </si>
  <si>
    <t>Podsyp, obsyp pískem potrubí, podsyp demont.zpevněných</t>
  </si>
  <si>
    <t>Zásyp vytěženou zeminou. koef. nerovnom. výkopu 1.07</t>
  </si>
  <si>
    <t>Přepočet m3 / tuny</t>
  </si>
  <si>
    <t>plocha oplocení zásobníků</t>
  </si>
  <si>
    <t>průměr vývrtu 0,15; hl.0,8 m - sloupky a vzpěry, vč.betonáže C16/20 X0, vývrt není souč.položky</t>
  </si>
  <si>
    <t>Délka sloupku 210 cm,  Trubka 48 mm o síle stěny 1,5 mm, barva jedlová zeleň (RAL 6005),</t>
  </si>
  <si>
    <t>Žárově pozinkováno a poplastováno</t>
  </si>
  <si>
    <t>Barva jedlová zeleň (RAL 6005). Žárově pozinkováno a poplastováno</t>
  </si>
  <si>
    <t>Pro montáž vzpěry k brankovému sloupku. Barva jedlová zeleň (RAL 6005).</t>
  </si>
  <si>
    <t>Pro montáž vzpěry ke sloupku. Barva jedlová zeleň (RAL 6005).</t>
  </si>
  <si>
    <t>2% ztratné</t>
  </si>
  <si>
    <t>přesný typ výrobku  předepsán, jedná se o bezpečnostní prvek</t>
  </si>
  <si>
    <t>sestava poj.vent.100 kW, manometr, odvzd. automat, izolace</t>
  </si>
  <si>
    <t>výkon 2x100 kW, přiruby DN65, vč. izol. a jímky čidla</t>
  </si>
  <si>
    <t>G1/2", 1/2", 2", 2" 5/4", 6/4", 6/4", 2", návar. vypoušťení+tlakoměry 1/2", příruby DN65, viz výkres</t>
  </si>
  <si>
    <t>Přímá specifikace, jedná se o bezpečnostní prvek</t>
  </si>
  <si>
    <t>vč. vodoměru pro řízení dávkování, vstřikovače, armatur, kontroly vyprázdnění, zásobní nádrže</t>
  </si>
  <si>
    <t>2 x proplach + napuštění systému s odvzdušněním</t>
  </si>
  <si>
    <t>Montáž pletiva na sloupky - ohrazení prostoru zásobníků</t>
  </si>
  <si>
    <t>Osazení středového drátu pro zpevnění pletiva.</t>
  </si>
  <si>
    <t>Výška pletiva 160 cm, oko 50mm. Žárově zinkovaný drát průměr 1,7mm  a vč. poplastování 2,5 mm.</t>
  </si>
  <si>
    <t>Žárově zinkovaný poplastovaný drát průměru 3,5mm. Barva jedlová zeleň (RAL 6005).</t>
  </si>
  <si>
    <t>Napnutí pletiva - nosných a zpevňujícího drátu</t>
  </si>
  <si>
    <t>Branka výšky 160cm a šíře křídla 100cm, poplastovaná se zavíráním na kliku.</t>
  </si>
  <si>
    <t>Barva jedlová zeleň (RAL 6005).</t>
  </si>
  <si>
    <t>Dod.dlažby není součástí položky</t>
  </si>
  <si>
    <t>8% odpad</t>
  </si>
  <si>
    <t>2 ks 2-násobný ovin chráničky a spoje potrubí 10 cm pod a 30 cm nad terénem</t>
  </si>
  <si>
    <t>2 x ovin chráničky a spoje potrubí 10 cm pod a 30 cm nad terénem</t>
  </si>
  <si>
    <t>pr.0,15; hl. 0,8 m - sloupky a vzpěry oplocení, bez betonáže</t>
  </si>
  <si>
    <t xml:space="preserve">Obec Doubrava,Doubrava č.p. 599, 735 33 Doubrava_x000D_
</t>
  </si>
  <si>
    <t>Ing. Stanislav Wilczek</t>
  </si>
  <si>
    <t> </t>
  </si>
  <si>
    <t>MJ</t>
  </si>
  <si>
    <t>den</t>
  </si>
  <si>
    <t>ha</t>
  </si>
  <si>
    <t>m</t>
  </si>
  <si>
    <t>hod</t>
  </si>
  <si>
    <t>m3</t>
  </si>
  <si>
    <t>t</t>
  </si>
  <si>
    <t>m2</t>
  </si>
  <si>
    <t>kus</t>
  </si>
  <si>
    <t>ks</t>
  </si>
  <si>
    <t>soubor</t>
  </si>
  <si>
    <t>h</t>
  </si>
  <si>
    <t>km</t>
  </si>
  <si>
    <t>Množství</t>
  </si>
  <si>
    <t>Cena/MJ</t>
  </si>
  <si>
    <t>(Kč)</t>
  </si>
  <si>
    <t>Náklady (Kč)</t>
  </si>
  <si>
    <t>Dodávka</t>
  </si>
  <si>
    <t>Celkem: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</si>
  <si>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</si>
  <si>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</si>
  <si>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</si>
  <si>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</si>
  <si>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</si>
  <si>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</si>
  <si>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</si>
  <si>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</si>
  <si>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</si>
  <si>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</si>
  <si>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</si>
  <si>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</si>
  <si>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</si>
  <si>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11_</t>
  </si>
  <si>
    <t>11VD_</t>
  </si>
  <si>
    <t>12_</t>
  </si>
  <si>
    <t>13_</t>
  </si>
  <si>
    <t>16_</t>
  </si>
  <si>
    <t>17_</t>
  </si>
  <si>
    <t>31_</t>
  </si>
  <si>
    <t>33_</t>
  </si>
  <si>
    <t>43_</t>
  </si>
  <si>
    <t>46_</t>
  </si>
  <si>
    <t>61_</t>
  </si>
  <si>
    <t>62_</t>
  </si>
  <si>
    <t>63_</t>
  </si>
  <si>
    <t>64_</t>
  </si>
  <si>
    <t>713_</t>
  </si>
  <si>
    <t>721_</t>
  </si>
  <si>
    <t>722_</t>
  </si>
  <si>
    <t>723_</t>
  </si>
  <si>
    <t>731_</t>
  </si>
  <si>
    <t>732_</t>
  </si>
  <si>
    <t>733_</t>
  </si>
  <si>
    <t>734_</t>
  </si>
  <si>
    <t>735_</t>
  </si>
  <si>
    <t>762_</t>
  </si>
  <si>
    <t>764_</t>
  </si>
  <si>
    <t>767_</t>
  </si>
  <si>
    <t>771_</t>
  </si>
  <si>
    <t>783_</t>
  </si>
  <si>
    <t>96_</t>
  </si>
  <si>
    <t>784_</t>
  </si>
  <si>
    <t>795_</t>
  </si>
  <si>
    <t>91_</t>
  </si>
  <si>
    <t>93_</t>
  </si>
  <si>
    <t>97_</t>
  </si>
  <si>
    <t>H01_</t>
  </si>
  <si>
    <t>H14_</t>
  </si>
  <si>
    <t>H15_</t>
  </si>
  <si>
    <t>H22_</t>
  </si>
  <si>
    <t>H23_</t>
  </si>
  <si>
    <t>H27_</t>
  </si>
  <si>
    <t>H28_</t>
  </si>
  <si>
    <t>H713_</t>
  </si>
  <si>
    <t>H721_</t>
  </si>
  <si>
    <t>H722_</t>
  </si>
  <si>
    <t>H723_</t>
  </si>
  <si>
    <t>H731_</t>
  </si>
  <si>
    <t>H732_</t>
  </si>
  <si>
    <t>H733_</t>
  </si>
  <si>
    <t>H734_</t>
  </si>
  <si>
    <t>H77VD_</t>
  </si>
  <si>
    <t>M06VD_</t>
  </si>
  <si>
    <t>M21_</t>
  </si>
  <si>
    <t>M23_</t>
  </si>
  <si>
    <t>M46_</t>
  </si>
  <si>
    <t>M72VD_</t>
  </si>
  <si>
    <t>S_</t>
  </si>
  <si>
    <t>1_</t>
  </si>
  <si>
    <t>3_</t>
  </si>
  <si>
    <t>4_</t>
  </si>
  <si>
    <t>6_</t>
  </si>
  <si>
    <t>71_</t>
  </si>
  <si>
    <t>72_</t>
  </si>
  <si>
    <t>73_</t>
  </si>
  <si>
    <t>76_</t>
  </si>
  <si>
    <t>77_</t>
  </si>
  <si>
    <t>78_</t>
  </si>
  <si>
    <t>9_</t>
  </si>
  <si>
    <t>79_</t>
  </si>
  <si>
    <t>_</t>
  </si>
  <si>
    <t>MAT</t>
  </si>
  <si>
    <t>WORK</t>
  </si>
  <si>
    <t>CELK</t>
  </si>
  <si>
    <t>ISWORK</t>
  </si>
  <si>
    <t>P</t>
  </si>
  <si>
    <t>M</t>
  </si>
  <si>
    <t>GROUPCODE</t>
  </si>
  <si>
    <t>Slepý 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</si>
  <si>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</si>
  <si>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</si>
  <si>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</si>
  <si>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</si>
  <si>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</si>
  <si>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Soupis stavebních prací dodávek a služeb s výkazem výměr</t>
  </si>
  <si>
    <t>Potřebné množství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</si>
  <si>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</si>
  <si>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</si>
  <si>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</si>
  <si>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</si>
  <si>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</si>
  <si>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</si>
  <si>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</si>
  <si>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</si>
  <si>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</si>
  <si>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</si>
  <si>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</si>
  <si>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</si>
  <si>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</si>
  <si>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</si>
  <si>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</si>
  <si>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</si>
  <si>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</si>
  <si>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</si>
  <si>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</si>
  <si>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</si>
  <si>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</si>
  <si>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</si>
  <si>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</si>
  <si>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</si>
  <si>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</si>
  <si>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</si>
  <si>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</si>
  <si>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</si>
  <si>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</si>
  <si>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</si>
  <si>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</si>
  <si>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</si>
  <si>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</si>
  <si>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</si>
  <si>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</si>
  <si>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</si>
  <si>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</si>
  <si>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</si>
  <si>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</si>
  <si>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</si>
  <si>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</si>
  <si>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</si>
  <si>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</si>
  <si>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</si>
  <si>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Vedlejší rozpočtové náklady VRN</t>
  </si>
  <si>
    <t>Doplňkové náklady DN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</si>
  <si>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</si>
  <si>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</si>
  <si>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</si>
  <si>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</si>
  <si>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</si>
  <si>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</si>
  <si>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Vedlejší a ostatní rozpočtové náklady</t>
  </si>
  <si>
    <t>Kč</t>
  </si>
  <si>
    <t>%</t>
  </si>
  <si>
    <t>Základna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</si>
</sst>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i/>
      <sz val="10"/>
      <color indexed="63"/>
      <name val="Arial"/>
      <charset val="238"/>
    </font>
    <font>
      <i/>
      <sz val="10"/>
      <color indexed="50"/>
      <name val="Arial"/>
      <charset val="238"/>
    </font>
    <font>
      <i/>
      <sz val="9"/>
      <color indexed="63"/>
      <name val="Arial"/>
      <charset val="238"/>
    </font>
    <font>
      <i/>
      <sz val="9"/>
      <color indexed="50"/>
      <name val="Arial"/>
      <charset val="238"/>
    </font>
    <font>
      <i/>
      <sz val="9"/>
      <color indexed="61"/>
      <name val="Arial"/>
      <charset val="238"/>
    </font>
    <font>
      <i/>
      <sz val="9"/>
      <color indexed="62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1" fillId="0" borderId="0" xfId="0" applyFont="1" applyAlignment="1">
      <alignment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49" fontId="4" fillId="2" borderId="13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8" fillId="2" borderId="14" xfId="0" applyNumberFormat="1" applyFont="1" applyFill="1" applyBorder="1" applyAlignment="1" applyProtection="1">
      <alignment horizontal="righ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4" fontId="8" fillId="2" borderId="25" xfId="0" applyNumberFormat="1" applyFont="1" applyFill="1" applyBorder="1" applyAlignment="1" applyProtection="1">
      <alignment horizontal="right" vertical="center"/>
    </xf>
    <xf numFmtId="4" fontId="6" fillId="0" borderId="25" xfId="0" applyNumberFormat="1" applyFont="1" applyFill="1" applyBorder="1" applyAlignment="1" applyProtection="1">
      <alignment horizontal="right" vertical="center"/>
    </xf>
    <xf numFmtId="4" fontId="5" fillId="0" borderId="27" xfId="0" applyNumberFormat="1" applyFont="1" applyFill="1" applyBorder="1" applyAlignment="1" applyProtection="1">
      <alignment horizontal="righ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13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49" fontId="3" fillId="0" borderId="33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49" fontId="3" fillId="0" borderId="31" xfId="0" applyNumberFormat="1" applyFont="1" applyFill="1" applyBorder="1" applyAlignment="1" applyProtection="1">
      <alignment horizontal="left" vertical="center"/>
    </xf>
    <xf numFmtId="49" fontId="8" fillId="2" borderId="14" xfId="0" applyNumberFormat="1" applyFont="1" applyFill="1" applyBorder="1" applyAlignment="1" applyProtection="1">
      <alignment horizontal="right" vertical="center"/>
    </xf>
    <xf numFmtId="49" fontId="5" fillId="0" borderId="25" xfId="0" applyNumberFormat="1" applyFont="1" applyFill="1" applyBorder="1" applyAlignment="1" applyProtection="1">
      <alignment horizontal="right" vertical="center"/>
    </xf>
    <xf numFmtId="49" fontId="8" fillId="2" borderId="25" xfId="0" applyNumberFormat="1" applyFont="1" applyFill="1" applyBorder="1" applyAlignment="1" applyProtection="1">
      <alignment horizontal="right" vertical="center"/>
    </xf>
    <xf numFmtId="49" fontId="6" fillId="0" borderId="25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16" fillId="3" borderId="36" xfId="0" applyNumberFormat="1" applyFont="1" applyFill="1" applyBorder="1" applyAlignment="1" applyProtection="1">
      <alignment horizontal="center" vertical="center"/>
    </xf>
    <xf numFmtId="49" fontId="17" fillId="0" borderId="37" xfId="0" applyNumberFormat="1" applyFont="1" applyFill="1" applyBorder="1" applyAlignment="1" applyProtection="1">
      <alignment horizontal="left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" fillId="0" borderId="40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8" fillId="0" borderId="36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vertical="center"/>
    </xf>
    <xf numFmtId="0" fontId="1" fillId="0" borderId="24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4" fontId="18" fillId="0" borderId="36" xfId="0" applyNumberFormat="1" applyFont="1" applyFill="1" applyBorder="1" applyAlignment="1" applyProtection="1">
      <alignment horizontal="right" vertical="center"/>
    </xf>
    <xf numFmtId="49" fontId="18" fillId="0" borderId="36" xfId="0" applyNumberFormat="1" applyFont="1" applyFill="1" applyBorder="1" applyAlignment="1" applyProtection="1">
      <alignment horizontal="right" vertical="center"/>
    </xf>
    <xf numFmtId="4" fontId="18" fillId="0" borderId="21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4" fontId="17" fillId="3" borderId="43" xfId="0" applyNumberFormat="1" applyFont="1" applyFill="1" applyBorder="1" applyAlignment="1" applyProtection="1">
      <alignment horizontal="right" vertical="center"/>
    </xf>
    <xf numFmtId="0" fontId="1" fillId="0" borderId="48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49" fontId="3" fillId="0" borderId="51" xfId="0" applyNumberFormat="1" applyFont="1" applyFill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 vertical="center"/>
    </xf>
    <xf numFmtId="4" fontId="1" fillId="0" borderId="21" xfId="0" applyNumberFormat="1" applyFont="1" applyFill="1" applyBorder="1" applyAlignment="1" applyProtection="1">
      <alignment horizontal="right" vertical="center"/>
    </xf>
    <xf numFmtId="49" fontId="3" fillId="0" borderId="52" xfId="0" applyNumberFormat="1" applyFont="1" applyFill="1" applyBorder="1" applyAlignment="1" applyProtection="1">
      <alignment horizontal="left" vertical="center"/>
    </xf>
    <xf numFmtId="49" fontId="1" fillId="0" borderId="36" xfId="0" applyNumberFormat="1" applyFont="1" applyFill="1" applyBorder="1" applyAlignment="1" applyProtection="1">
      <alignment horizontal="left" vertical="center"/>
    </xf>
    <xf numFmtId="49" fontId="1" fillId="0" borderId="21" xfId="0" applyNumberFormat="1" applyFont="1" applyFill="1" applyBorder="1" applyAlignment="1" applyProtection="1">
      <alignment horizontal="left" vertical="center"/>
    </xf>
    <xf numFmtId="49" fontId="3" fillId="0" borderId="52" xfId="0" applyNumberFormat="1" applyFont="1" applyFill="1" applyBorder="1" applyAlignment="1" applyProtection="1">
      <alignment horizontal="right" vertical="center"/>
    </xf>
    <xf numFmtId="4" fontId="3" fillId="0" borderId="5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6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0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0" fontId="1" fillId="0" borderId="25" xfId="0" applyNumberFormat="1" applyFont="1" applyFill="1" applyBorder="1" applyAlignment="1" applyProtection="1">
      <alignment horizontal="left" vertical="center" wrapText="1"/>
    </xf>
    <xf numFmtId="49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3" fillId="0" borderId="34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27" xfId="0" applyNumberFormat="1" applyFont="1" applyFill="1" applyBorder="1" applyAlignment="1" applyProtection="1">
      <alignment horizontal="left" vertical="center"/>
    </xf>
    <xf numFmtId="49" fontId="15" fillId="0" borderId="35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left" vertical="center"/>
    </xf>
    <xf numFmtId="0" fontId="19" fillId="0" borderId="43" xfId="0" applyNumberFormat="1" applyFont="1" applyFill="1" applyBorder="1" applyAlignment="1" applyProtection="1">
      <alignment horizontal="left" vertical="center"/>
    </xf>
    <xf numFmtId="49" fontId="18" fillId="0" borderId="39" xfId="0" applyNumberFormat="1" applyFont="1" applyFill="1" applyBorder="1" applyAlignment="1" applyProtection="1">
      <alignment horizontal="left" vertical="center"/>
    </xf>
    <xf numFmtId="0" fontId="18" fillId="0" borderId="43" xfId="0" applyNumberFormat="1" applyFont="1" applyFill="1" applyBorder="1" applyAlignment="1" applyProtection="1">
      <alignment horizontal="left" vertical="center"/>
    </xf>
    <xf numFmtId="49" fontId="17" fillId="0" borderId="39" xfId="0" applyNumberFormat="1" applyFont="1" applyFill="1" applyBorder="1" applyAlignment="1" applyProtection="1">
      <alignment horizontal="left" vertical="center"/>
    </xf>
    <xf numFmtId="0" fontId="17" fillId="0" borderId="43" xfId="0" applyNumberFormat="1" applyFont="1" applyFill="1" applyBorder="1" applyAlignment="1" applyProtection="1">
      <alignment horizontal="left" vertical="center"/>
    </xf>
    <xf numFmtId="49" fontId="17" fillId="3" borderId="39" xfId="0" applyNumberFormat="1" applyFont="1" applyFill="1" applyBorder="1" applyAlignment="1" applyProtection="1">
      <alignment horizontal="left" vertical="center"/>
    </xf>
    <xf numFmtId="0" fontId="17" fillId="3" borderId="35" xfId="0" applyNumberFormat="1" applyFont="1" applyFill="1" applyBorder="1" applyAlignment="1" applyProtection="1">
      <alignment horizontal="left" vertical="center"/>
    </xf>
    <xf numFmtId="49" fontId="18" fillId="0" borderId="41" xfId="0" applyNumberFormat="1" applyFont="1" applyFill="1" applyBorder="1" applyAlignment="1" applyProtection="1">
      <alignment horizontal="left" vertical="center"/>
    </xf>
    <xf numFmtId="0" fontId="18" fillId="0" borderId="13" xfId="0" applyNumberFormat="1" applyFont="1" applyFill="1" applyBorder="1" applyAlignment="1" applyProtection="1">
      <alignment horizontal="left" vertical="center"/>
    </xf>
    <xf numFmtId="0" fontId="18" fillId="0" borderId="44" xfId="0" applyNumberFormat="1" applyFont="1" applyFill="1" applyBorder="1" applyAlignment="1" applyProtection="1">
      <alignment horizontal="left" vertical="center"/>
    </xf>
    <xf numFmtId="49" fontId="18" fillId="0" borderId="32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45" xfId="0" applyNumberFormat="1" applyFont="1" applyFill="1" applyBorder="1" applyAlignment="1" applyProtection="1">
      <alignment horizontal="left" vertical="center"/>
    </xf>
    <xf numFmtId="49" fontId="18" fillId="0" borderId="42" xfId="0" applyNumberFormat="1" applyFont="1" applyFill="1" applyBorder="1" applyAlignment="1" applyProtection="1">
      <alignment horizontal="left" vertical="center"/>
    </xf>
    <xf numFmtId="0" fontId="18" fillId="0" borderId="10" xfId="0" applyNumberFormat="1" applyFont="1" applyFill="1" applyBorder="1" applyAlignment="1" applyProtection="1">
      <alignment horizontal="left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49" fontId="17" fillId="0" borderId="10" xfId="0" applyNumberFormat="1" applyFont="1" applyFill="1" applyBorder="1" applyAlignment="1" applyProtection="1">
      <alignment horizontal="left" vertical="center"/>
    </xf>
    <xf numFmtId="0" fontId="17" fillId="0" borderId="10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49" fontId="1" fillId="0" borderId="39" xfId="0" applyNumberFormat="1" applyFont="1" applyFill="1" applyBorder="1" applyAlignment="1" applyProtection="1">
      <alignment horizontal="left" vertical="center"/>
    </xf>
    <xf numFmtId="0" fontId="1" fillId="0" borderId="35" xfId="0" applyNumberFormat="1" applyFont="1" applyFill="1" applyBorder="1" applyAlignment="1" applyProtection="1">
      <alignment horizontal="left" vertical="center"/>
    </xf>
    <xf numFmtId="0" fontId="1" fillId="0" borderId="43" xfId="0" applyNumberFormat="1" applyFont="1" applyFill="1" applyBorder="1" applyAlignment="1" applyProtection="1">
      <alignment horizontal="left" vertical="center"/>
    </xf>
    <xf numFmtId="49" fontId="1" fillId="0" borderId="47" xfId="0" applyNumberFormat="1" applyFont="1" applyFill="1" applyBorder="1" applyAlignment="1" applyProtection="1">
      <alignment horizontal="left" vertical="center"/>
    </xf>
    <xf numFmtId="0" fontId="1" fillId="0" borderId="40" xfId="0" applyNumberFormat="1" applyFont="1" applyFill="1" applyBorder="1" applyAlignment="1" applyProtection="1">
      <alignment horizontal="left" vertical="center"/>
    </xf>
    <xf numFmtId="0" fontId="1" fillId="0" borderId="49" xfId="0" applyNumberFormat="1" applyFont="1" applyFill="1" applyBorder="1" applyAlignment="1" applyProtection="1">
      <alignment horizontal="left" vertical="center"/>
    </xf>
    <xf numFmtId="0" fontId="3" fillId="0" borderId="4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49" fontId="17" fillId="0" borderId="28" xfId="0" applyNumberFormat="1" applyFont="1" applyFill="1" applyBorder="1" applyAlignment="1" applyProtection="1">
      <alignment horizontal="left" vertical="center"/>
    </xf>
    <xf numFmtId="0" fontId="17" fillId="0" borderId="48" xfId="0" applyNumberFormat="1" applyFont="1" applyFill="1" applyBorder="1" applyAlignment="1" applyProtection="1">
      <alignment horizontal="left" vertical="center"/>
    </xf>
    <xf numFmtId="0" fontId="17" fillId="0" borderId="50" xfId="0" applyNumberFormat="1" applyFont="1" applyFill="1" applyBorder="1" applyAlignment="1" applyProtection="1">
      <alignment horizontal="left" vertical="center"/>
    </xf>
    <xf numFmtId="4" fontId="17" fillId="0" borderId="28" xfId="0" applyNumberFormat="1" applyFont="1" applyFill="1" applyBorder="1" applyAlignment="1" applyProtection="1">
      <alignment horizontal="right" vertical="center"/>
    </xf>
    <xf numFmtId="0" fontId="17" fillId="0" borderId="48" xfId="0" applyNumberFormat="1" applyFont="1" applyFill="1" applyBorder="1" applyAlignment="1" applyProtection="1">
      <alignment horizontal="right" vertical="center"/>
    </xf>
    <xf numFmtId="0" fontId="17" fillId="0" borderId="50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0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678180</xdr:colOff>
      <xdr:row>0</xdr:row>
      <xdr:rowOff>891540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6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464820</xdr:colOff>
      <xdr:row>0</xdr:row>
      <xdr:rowOff>891540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891540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67"/>
  <sheetViews>
    <sheetView tabSelected="1" workbookViewId="0">
      <pane ySplit="11" topLeftCell="A12" activePane="bottomLeft" state="frozenSplit"/>
      <selection pane="bottomLeft" activeCell="H13" sqref="H13"/>
    </sheetView>
  </sheetViews>
  <sheetFormatPr defaultColWidth="11.5546875" defaultRowHeight="13.2" x14ac:dyDescent="0.25"/>
  <cols>
    <col min="1" max="1" width="3.6640625" customWidth="1"/>
    <col min="2" max="2" width="14.33203125" customWidth="1"/>
    <col min="3" max="3" width="26.44140625" customWidth="1"/>
    <col min="4" max="4" width="16.44140625" customWidth="1"/>
    <col min="5" max="5" width="10.33203125" customWidth="1"/>
    <col min="6" max="6" width="10.77734375" customWidth="1"/>
    <col min="7" max="7" width="40.6640625" customWidth="1"/>
    <col min="8" max="8" width="12.88671875" customWidth="1"/>
    <col min="9" max="9" width="12" customWidth="1"/>
    <col min="10" max="12" width="14.33203125" customWidth="1"/>
    <col min="13" max="14" width="11.6640625" customWidth="1"/>
    <col min="25" max="64" width="12.109375" hidden="1" customWidth="1"/>
  </cols>
  <sheetData>
    <row r="1" spans="1:64" ht="73.05" customHeight="1" x14ac:dyDescent="0.4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64" x14ac:dyDescent="0.25">
      <c r="A2" s="102" t="s">
        <v>1</v>
      </c>
      <c r="B2" s="103"/>
      <c r="C2" s="106" t="s">
        <v>691</v>
      </c>
      <c r="D2" s="108" t="s">
        <v>1114</v>
      </c>
      <c r="E2" s="108" t="s">
        <v>1118</v>
      </c>
      <c r="F2" s="109" t="s">
        <v>1121</v>
      </c>
      <c r="G2" s="109" t="s">
        <v>1159</v>
      </c>
      <c r="H2" s="103"/>
      <c r="I2" s="103"/>
      <c r="J2" s="103"/>
      <c r="K2" s="103"/>
      <c r="L2" s="103"/>
      <c r="M2" s="103"/>
      <c r="N2" s="110"/>
      <c r="O2" s="5"/>
    </row>
    <row r="3" spans="1:64" x14ac:dyDescent="0.25">
      <c r="A3" s="104"/>
      <c r="B3" s="105"/>
      <c r="C3" s="107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11"/>
      <c r="O3" s="5"/>
    </row>
    <row r="4" spans="1:64" x14ac:dyDescent="0.25">
      <c r="A4" s="112" t="s">
        <v>2</v>
      </c>
      <c r="B4" s="105"/>
      <c r="C4" s="113" t="s">
        <v>692</v>
      </c>
      <c r="D4" s="114" t="s">
        <v>1115</v>
      </c>
      <c r="E4" s="114" t="s">
        <v>6</v>
      </c>
      <c r="F4" s="113" t="s">
        <v>1122</v>
      </c>
      <c r="G4" s="113" t="s">
        <v>1160</v>
      </c>
      <c r="H4" s="105"/>
      <c r="I4" s="105"/>
      <c r="J4" s="105"/>
      <c r="K4" s="105"/>
      <c r="L4" s="105"/>
      <c r="M4" s="105"/>
      <c r="N4" s="111"/>
      <c r="O4" s="5"/>
    </row>
    <row r="5" spans="1:64" x14ac:dyDescent="0.25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11"/>
      <c r="O5" s="5"/>
    </row>
    <row r="6" spans="1:64" x14ac:dyDescent="0.25">
      <c r="A6" s="112" t="s">
        <v>3</v>
      </c>
      <c r="B6" s="105"/>
      <c r="C6" s="113" t="s">
        <v>693</v>
      </c>
      <c r="D6" s="114" t="s">
        <v>1116</v>
      </c>
      <c r="E6" s="114"/>
      <c r="F6" s="113" t="s">
        <v>1123</v>
      </c>
      <c r="G6" s="114" t="s">
        <v>1161</v>
      </c>
      <c r="H6" s="105"/>
      <c r="I6" s="105"/>
      <c r="J6" s="105"/>
      <c r="K6" s="105"/>
      <c r="L6" s="105"/>
      <c r="M6" s="105"/>
      <c r="N6" s="111"/>
      <c r="O6" s="5"/>
    </row>
    <row r="7" spans="1:64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11"/>
      <c r="O7" s="5"/>
    </row>
    <row r="8" spans="1:64" x14ac:dyDescent="0.25">
      <c r="A8" s="112" t="s">
        <v>4</v>
      </c>
      <c r="B8" s="105"/>
      <c r="C8" s="113">
        <v>8013212</v>
      </c>
      <c r="D8" s="114" t="s">
        <v>1117</v>
      </c>
      <c r="E8" s="114" t="s">
        <v>1120</v>
      </c>
      <c r="F8" s="113" t="s">
        <v>1124</v>
      </c>
      <c r="G8" s="113" t="s">
        <v>1160</v>
      </c>
      <c r="H8" s="105"/>
      <c r="I8" s="105"/>
      <c r="J8" s="105"/>
      <c r="K8" s="105"/>
      <c r="L8" s="105"/>
      <c r="M8" s="105"/>
      <c r="N8" s="111"/>
      <c r="O8" s="5"/>
    </row>
    <row r="9" spans="1:64" x14ac:dyDescent="0.25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7"/>
      <c r="O9" s="5"/>
    </row>
    <row r="10" spans="1:64" x14ac:dyDescent="0.25">
      <c r="A10" s="1" t="s">
        <v>5</v>
      </c>
      <c r="B10" s="11" t="s">
        <v>343</v>
      </c>
      <c r="C10" s="118" t="s">
        <v>694</v>
      </c>
      <c r="D10" s="119"/>
      <c r="E10" s="119"/>
      <c r="F10" s="120"/>
      <c r="G10" s="11" t="s">
        <v>1162</v>
      </c>
      <c r="H10" s="23" t="s">
        <v>1175</v>
      </c>
      <c r="I10" s="28" t="s">
        <v>1176</v>
      </c>
      <c r="J10" s="121" t="s">
        <v>1178</v>
      </c>
      <c r="K10" s="122"/>
      <c r="L10" s="123"/>
      <c r="M10" s="121" t="s">
        <v>1183</v>
      </c>
      <c r="N10" s="124"/>
      <c r="O10" s="5"/>
      <c r="BK10" s="35" t="s">
        <v>1266</v>
      </c>
      <c r="BL10" s="41" t="s">
        <v>1269</v>
      </c>
    </row>
    <row r="11" spans="1:64" x14ac:dyDescent="0.25">
      <c r="A11" s="2" t="s">
        <v>6</v>
      </c>
      <c r="B11" s="12" t="s">
        <v>6</v>
      </c>
      <c r="C11" s="125" t="s">
        <v>695</v>
      </c>
      <c r="D11" s="126"/>
      <c r="E11" s="126"/>
      <c r="F11" s="127"/>
      <c r="G11" s="12" t="s">
        <v>6</v>
      </c>
      <c r="H11" s="12" t="s">
        <v>6</v>
      </c>
      <c r="I11" s="29" t="s">
        <v>1177</v>
      </c>
      <c r="J11" s="30" t="s">
        <v>1179</v>
      </c>
      <c r="K11" s="32" t="s">
        <v>1181</v>
      </c>
      <c r="L11" s="33" t="s">
        <v>1182</v>
      </c>
      <c r="M11" s="30" t="s">
        <v>1184</v>
      </c>
      <c r="N11" s="32" t="s">
        <v>1182</v>
      </c>
      <c r="O11" s="5"/>
      <c r="Z11" s="35" t="s">
        <v>1185</v>
      </c>
      <c r="AA11" s="35" t="s">
        <v>1186</v>
      </c>
      <c r="AB11" s="35" t="s">
        <v>1187</v>
      </c>
      <c r="AC11" s="35" t="s">
        <v>1188</v>
      </c>
      <c r="AD11" s="35" t="s">
        <v>1189</v>
      </c>
      <c r="AE11" s="35" t="s">
        <v>1190</v>
      </c>
      <c r="AF11" s="35" t="s">
        <v>1191</v>
      </c>
      <c r="AG11" s="35" t="s">
        <v>1192</v>
      </c>
      <c r="AH11" s="35" t="s">
        <v>1193</v>
      </c>
      <c r="BH11" s="35" t="s">
        <v>1263</v>
      </c>
      <c r="BI11" s="35" t="s">
        <v>1264</v>
      </c>
      <c r="BJ11" s="35" t="s">
        <v>1265</v>
      </c>
    </row>
    <row r="12" spans="1:64" x14ac:dyDescent="0.25">
      <c r="A12" s="3"/>
      <c r="B12" s="13" t="s">
        <v>17</v>
      </c>
      <c r="C12" s="128" t="s">
        <v>696</v>
      </c>
      <c r="D12" s="129"/>
      <c r="E12" s="129"/>
      <c r="F12" s="129"/>
      <c r="G12" s="21" t="s">
        <v>6</v>
      </c>
      <c r="H12" s="21" t="s">
        <v>6</v>
      </c>
      <c r="I12" s="21" t="s">
        <v>6</v>
      </c>
      <c r="J12" s="42">
        <f>SUM(J13:J16)</f>
        <v>0</v>
      </c>
      <c r="K12" s="42">
        <f>SUM(K13:K16)</f>
        <v>0</v>
      </c>
      <c r="L12" s="42">
        <f>SUM(L13:L16)</f>
        <v>0</v>
      </c>
      <c r="M12" s="34"/>
      <c r="N12" s="45">
        <f>SUM(N13:N16)</f>
        <v>289.14999999999998</v>
      </c>
      <c r="O12" s="5"/>
      <c r="AI12" s="35"/>
      <c r="AS12" s="43">
        <f>SUM(AJ13:AJ16)</f>
        <v>0</v>
      </c>
      <c r="AT12" s="43">
        <f>SUM(AK13:AK16)</f>
        <v>0</v>
      </c>
      <c r="AU12" s="43">
        <f>SUM(AL13:AL16)</f>
        <v>0</v>
      </c>
    </row>
    <row r="13" spans="1:64" x14ac:dyDescent="0.25">
      <c r="A13" s="4" t="s">
        <v>7</v>
      </c>
      <c r="B13" s="14" t="s">
        <v>344</v>
      </c>
      <c r="C13" s="130" t="s">
        <v>697</v>
      </c>
      <c r="D13" s="131"/>
      <c r="E13" s="131"/>
      <c r="F13" s="131"/>
      <c r="G13" s="14" t="s">
        <v>1163</v>
      </c>
      <c r="H13" s="24">
        <v>5</v>
      </c>
      <c r="I13" s="24">
        <v>0</v>
      </c>
      <c r="J13" s="24">
        <f>H13*AO13</f>
        <v>0</v>
      </c>
      <c r="K13" s="24">
        <f>H13*AP13</f>
        <v>0</v>
      </c>
      <c r="L13" s="24">
        <f>H13*I13</f>
        <v>0</v>
      </c>
      <c r="M13" s="24">
        <v>0</v>
      </c>
      <c r="N13" s="46">
        <f>H13*13</f>
        <v>65</v>
      </c>
      <c r="O13" s="5"/>
      <c r="Z13" s="37">
        <f>IF(AQ13="5",BJ13,0)</f>
        <v>0</v>
      </c>
      <c r="AB13" s="37">
        <f>IF(AQ13="1",BH13,0)</f>
        <v>0</v>
      </c>
      <c r="AC13" s="37">
        <f>IF(AQ13="1",BI13,0)</f>
        <v>0</v>
      </c>
      <c r="AD13" s="37">
        <f>IF(AQ13="7",BH13,0)</f>
        <v>0</v>
      </c>
      <c r="AE13" s="37">
        <f>IF(AQ13="7",BI13,0)</f>
        <v>0</v>
      </c>
      <c r="AF13" s="37">
        <f>IF(AQ13="2",BH13,0)</f>
        <v>0</v>
      </c>
      <c r="AG13" s="37">
        <f>IF(AQ13="2",BI13,0)</f>
        <v>0</v>
      </c>
      <c r="AH13" s="37">
        <f>IF(AQ13="0",BJ13,0)</f>
        <v>0</v>
      </c>
      <c r="AI13" s="35"/>
      <c r="AJ13" s="24">
        <f>IF(AN13=0,L13,0)</f>
        <v>0</v>
      </c>
      <c r="AK13" s="24">
        <f>IF(AN13=15,L13,0)</f>
        <v>0</v>
      </c>
      <c r="AL13" s="24">
        <f>IF(AN13=21,L13,0)</f>
        <v>0</v>
      </c>
      <c r="AN13" s="37">
        <v>21</v>
      </c>
      <c r="AO13" s="37">
        <f>I13*0</f>
        <v>0</v>
      </c>
      <c r="AP13" s="37">
        <f>I13*(1-0)</f>
        <v>0</v>
      </c>
      <c r="AQ13" s="38" t="s">
        <v>7</v>
      </c>
      <c r="AV13" s="37">
        <f>AW13+AX13</f>
        <v>0</v>
      </c>
      <c r="AW13" s="37">
        <f>H13*AO13</f>
        <v>0</v>
      </c>
      <c r="AX13" s="37">
        <f>H13*AP13</f>
        <v>0</v>
      </c>
      <c r="AY13" s="40" t="s">
        <v>1194</v>
      </c>
      <c r="AZ13" s="40" t="s">
        <v>1250</v>
      </c>
      <c r="BA13" s="35" t="s">
        <v>1262</v>
      </c>
      <c r="BC13" s="37">
        <f>AW13+AX13</f>
        <v>0</v>
      </c>
      <c r="BD13" s="37">
        <f>I13/(100-BE13)*100</f>
        <v>0</v>
      </c>
      <c r="BE13" s="37">
        <v>0</v>
      </c>
      <c r="BF13" s="37">
        <f>N13</f>
        <v>65</v>
      </c>
      <c r="BH13" s="24">
        <f>H13*AO13</f>
        <v>0</v>
      </c>
      <c r="BI13" s="24">
        <f>H13*AP13</f>
        <v>0</v>
      </c>
      <c r="BJ13" s="24">
        <f>H13*I13</f>
        <v>0</v>
      </c>
      <c r="BK13" s="24" t="s">
        <v>1267</v>
      </c>
      <c r="BL13" s="37">
        <v>11</v>
      </c>
    </row>
    <row r="14" spans="1:64" x14ac:dyDescent="0.25">
      <c r="A14" s="5"/>
      <c r="C14" s="18"/>
      <c r="F14" s="20" t="s">
        <v>1125</v>
      </c>
      <c r="H14" s="25">
        <v>0</v>
      </c>
      <c r="N14" s="36"/>
      <c r="O14" s="5"/>
    </row>
    <row r="15" spans="1:64" x14ac:dyDescent="0.25">
      <c r="A15" s="4" t="s">
        <v>8</v>
      </c>
      <c r="B15" s="14" t="s">
        <v>345</v>
      </c>
      <c r="C15" s="130" t="s">
        <v>698</v>
      </c>
      <c r="D15" s="131"/>
      <c r="E15" s="131"/>
      <c r="F15" s="131"/>
      <c r="G15" s="14" t="s">
        <v>1164</v>
      </c>
      <c r="H15" s="24">
        <v>0.01</v>
      </c>
      <c r="I15" s="24">
        <v>0</v>
      </c>
      <c r="J15" s="24">
        <f>H15*AO15</f>
        <v>0</v>
      </c>
      <c r="K15" s="24">
        <f>H15*AP15</f>
        <v>0</v>
      </c>
      <c r="L15" s="24">
        <f>H15*I15</f>
        <v>0</v>
      </c>
      <c r="M15" s="24">
        <v>0</v>
      </c>
      <c r="N15" s="46">
        <f>H15*15</f>
        <v>0.15</v>
      </c>
      <c r="O15" s="5"/>
      <c r="Z15" s="37">
        <f>IF(AQ15="5",BJ15,0)</f>
        <v>0</v>
      </c>
      <c r="AB15" s="37">
        <f>IF(AQ15="1",BH15,0)</f>
        <v>0</v>
      </c>
      <c r="AC15" s="37">
        <f>IF(AQ15="1",BI15,0)</f>
        <v>0</v>
      </c>
      <c r="AD15" s="37">
        <f>IF(AQ15="7",BH15,0)</f>
        <v>0</v>
      </c>
      <c r="AE15" s="37">
        <f>IF(AQ15="7",BI15,0)</f>
        <v>0</v>
      </c>
      <c r="AF15" s="37">
        <f>IF(AQ15="2",BH15,0)</f>
        <v>0</v>
      </c>
      <c r="AG15" s="37">
        <f>IF(AQ15="2",BI15,0)</f>
        <v>0</v>
      </c>
      <c r="AH15" s="37">
        <f>IF(AQ15="0",BJ15,0)</f>
        <v>0</v>
      </c>
      <c r="AI15" s="35"/>
      <c r="AJ15" s="24">
        <f>IF(AN15=0,L15,0)</f>
        <v>0</v>
      </c>
      <c r="AK15" s="24">
        <f>IF(AN15=15,L15,0)</f>
        <v>0</v>
      </c>
      <c r="AL15" s="24">
        <f>IF(AN15=21,L15,0)</f>
        <v>0</v>
      </c>
      <c r="AN15" s="37">
        <v>21</v>
      </c>
      <c r="AO15" s="37">
        <f>I15*0</f>
        <v>0</v>
      </c>
      <c r="AP15" s="37">
        <f>I15*(1-0)</f>
        <v>0</v>
      </c>
      <c r="AQ15" s="38" t="s">
        <v>7</v>
      </c>
      <c r="AV15" s="37">
        <f>AW15+AX15</f>
        <v>0</v>
      </c>
      <c r="AW15" s="37">
        <f>H15*AO15</f>
        <v>0</v>
      </c>
      <c r="AX15" s="37">
        <f>H15*AP15</f>
        <v>0</v>
      </c>
      <c r="AY15" s="40" t="s">
        <v>1194</v>
      </c>
      <c r="AZ15" s="40" t="s">
        <v>1250</v>
      </c>
      <c r="BA15" s="35" t="s">
        <v>1262</v>
      </c>
      <c r="BC15" s="37">
        <f>AW15+AX15</f>
        <v>0</v>
      </c>
      <c r="BD15" s="37">
        <f>I15/(100-BE15)*100</f>
        <v>0</v>
      </c>
      <c r="BE15" s="37">
        <v>0</v>
      </c>
      <c r="BF15" s="37">
        <f>N15</f>
        <v>0.15</v>
      </c>
      <c r="BH15" s="24">
        <f>H15*AO15</f>
        <v>0</v>
      </c>
      <c r="BI15" s="24">
        <f>H15*AP15</f>
        <v>0</v>
      </c>
      <c r="BJ15" s="24">
        <f>H15*I15</f>
        <v>0</v>
      </c>
      <c r="BK15" s="24" t="s">
        <v>1267</v>
      </c>
      <c r="BL15" s="37">
        <v>11</v>
      </c>
    </row>
    <row r="16" spans="1:64" x14ac:dyDescent="0.25">
      <c r="A16" s="4" t="s">
        <v>9</v>
      </c>
      <c r="B16" s="14" t="s">
        <v>346</v>
      </c>
      <c r="C16" s="130" t="s">
        <v>699</v>
      </c>
      <c r="D16" s="131"/>
      <c r="E16" s="131"/>
      <c r="F16" s="131"/>
      <c r="G16" s="14" t="s">
        <v>1165</v>
      </c>
      <c r="H16" s="24">
        <v>14</v>
      </c>
      <c r="I16" s="24">
        <v>0</v>
      </c>
      <c r="J16" s="24">
        <f>H16*AO16</f>
        <v>0</v>
      </c>
      <c r="K16" s="24">
        <f>H16*AP16</f>
        <v>0</v>
      </c>
      <c r="L16" s="24">
        <f>H16*I16</f>
        <v>0</v>
      </c>
      <c r="M16" s="24">
        <v>2.478E-2</v>
      </c>
      <c r="N16" s="46">
        <f>H16*16</f>
        <v>224</v>
      </c>
      <c r="O16" s="5"/>
      <c r="Z16" s="37">
        <f>IF(AQ16="5",BJ16,0)</f>
        <v>0</v>
      </c>
      <c r="AB16" s="37">
        <f>IF(AQ16="1",BH16,0)</f>
        <v>0</v>
      </c>
      <c r="AC16" s="37">
        <f>IF(AQ16="1",BI16,0)</f>
        <v>0</v>
      </c>
      <c r="AD16" s="37">
        <f>IF(AQ16="7",BH16,0)</f>
        <v>0</v>
      </c>
      <c r="AE16" s="37">
        <f>IF(AQ16="7",BI16,0)</f>
        <v>0</v>
      </c>
      <c r="AF16" s="37">
        <f>IF(AQ16="2",BH16,0)</f>
        <v>0</v>
      </c>
      <c r="AG16" s="37">
        <f>IF(AQ16="2",BI16,0)</f>
        <v>0</v>
      </c>
      <c r="AH16" s="37">
        <f>IF(AQ16="0",BJ16,0)</f>
        <v>0</v>
      </c>
      <c r="AI16" s="35"/>
      <c r="AJ16" s="24">
        <f>IF(AN16=0,L16,0)</f>
        <v>0</v>
      </c>
      <c r="AK16" s="24">
        <f>IF(AN16=15,L16,0)</f>
        <v>0</v>
      </c>
      <c r="AL16" s="24">
        <f>IF(AN16=21,L16,0)</f>
        <v>0</v>
      </c>
      <c r="AN16" s="37">
        <v>21</v>
      </c>
      <c r="AO16" s="37">
        <f>I16*0.295396825396825</f>
        <v>0</v>
      </c>
      <c r="AP16" s="37">
        <f>I16*(1-0.295396825396825)</f>
        <v>0</v>
      </c>
      <c r="AQ16" s="38" t="s">
        <v>7</v>
      </c>
      <c r="AV16" s="37">
        <f>AW16+AX16</f>
        <v>0</v>
      </c>
      <c r="AW16" s="37">
        <f>H16*AO16</f>
        <v>0</v>
      </c>
      <c r="AX16" s="37">
        <f>H16*AP16</f>
        <v>0</v>
      </c>
      <c r="AY16" s="40" t="s">
        <v>1194</v>
      </c>
      <c r="AZ16" s="40" t="s">
        <v>1250</v>
      </c>
      <c r="BA16" s="35" t="s">
        <v>1262</v>
      </c>
      <c r="BC16" s="37">
        <f>AW16+AX16</f>
        <v>0</v>
      </c>
      <c r="BD16" s="37">
        <f>I16/(100-BE16)*100</f>
        <v>0</v>
      </c>
      <c r="BE16" s="37">
        <v>0</v>
      </c>
      <c r="BF16" s="37">
        <f>N16</f>
        <v>224</v>
      </c>
      <c r="BH16" s="24">
        <f>H16*AO16</f>
        <v>0</v>
      </c>
      <c r="BI16" s="24">
        <f>H16*AP16</f>
        <v>0</v>
      </c>
      <c r="BJ16" s="24">
        <f>H16*I16</f>
        <v>0</v>
      </c>
      <c r="BK16" s="24" t="s">
        <v>1267</v>
      </c>
      <c r="BL16" s="37">
        <v>11</v>
      </c>
    </row>
    <row r="17" spans="1:64" x14ac:dyDescent="0.25">
      <c r="A17" s="6"/>
      <c r="B17" s="15" t="s">
        <v>347</v>
      </c>
      <c r="C17" s="132" t="s">
        <v>700</v>
      </c>
      <c r="D17" s="133"/>
      <c r="E17" s="133"/>
      <c r="F17" s="133"/>
      <c r="G17" s="22" t="s">
        <v>6</v>
      </c>
      <c r="H17" s="22" t="s">
        <v>6</v>
      </c>
      <c r="I17" s="22" t="s">
        <v>6</v>
      </c>
      <c r="J17" s="43">
        <f>SUM(J18:J18)</f>
        <v>0</v>
      </c>
      <c r="K17" s="43">
        <f>SUM(K18:K18)</f>
        <v>0</v>
      </c>
      <c r="L17" s="43">
        <f>SUM(L18:L18)</f>
        <v>0</v>
      </c>
      <c r="M17" s="35"/>
      <c r="N17" s="47">
        <f>SUM(N18:N18)</f>
        <v>288</v>
      </c>
      <c r="O17" s="5"/>
      <c r="AI17" s="35"/>
      <c r="AS17" s="43">
        <f>SUM(AJ18:AJ18)</f>
        <v>0</v>
      </c>
      <c r="AT17" s="43">
        <f>SUM(AK18:AK18)</f>
        <v>0</v>
      </c>
      <c r="AU17" s="43">
        <f>SUM(AL18:AL18)</f>
        <v>0</v>
      </c>
    </row>
    <row r="18" spans="1:64" x14ac:dyDescent="0.25">
      <c r="A18" s="4" t="s">
        <v>10</v>
      </c>
      <c r="B18" s="14" t="s">
        <v>348</v>
      </c>
      <c r="C18" s="130" t="s">
        <v>701</v>
      </c>
      <c r="D18" s="131"/>
      <c r="E18" s="131"/>
      <c r="F18" s="131"/>
      <c r="G18" s="14" t="s">
        <v>1166</v>
      </c>
      <c r="H18" s="24">
        <v>16</v>
      </c>
      <c r="I18" s="24">
        <v>0</v>
      </c>
      <c r="J18" s="24">
        <f>H18*AO18</f>
        <v>0</v>
      </c>
      <c r="K18" s="24">
        <f>H18*AP18</f>
        <v>0</v>
      </c>
      <c r="L18" s="24">
        <f>H18*I18</f>
        <v>0</v>
      </c>
      <c r="M18" s="24">
        <v>0</v>
      </c>
      <c r="N18" s="46">
        <f>H18*18</f>
        <v>288</v>
      </c>
      <c r="O18" s="5"/>
      <c r="Z18" s="37">
        <f>IF(AQ18="5",BJ18,0)</f>
        <v>0</v>
      </c>
      <c r="AB18" s="37">
        <f>IF(AQ18="1",BH18,0)</f>
        <v>0</v>
      </c>
      <c r="AC18" s="37">
        <f>IF(AQ18="1",BI18,0)</f>
        <v>0</v>
      </c>
      <c r="AD18" s="37">
        <f>IF(AQ18="7",BH18,0)</f>
        <v>0</v>
      </c>
      <c r="AE18" s="37">
        <f>IF(AQ18="7",BI18,0)</f>
        <v>0</v>
      </c>
      <c r="AF18" s="37">
        <f>IF(AQ18="2",BH18,0)</f>
        <v>0</v>
      </c>
      <c r="AG18" s="37">
        <f>IF(AQ18="2",BI18,0)</f>
        <v>0</v>
      </c>
      <c r="AH18" s="37">
        <f>IF(AQ18="0",BJ18,0)</f>
        <v>0</v>
      </c>
      <c r="AI18" s="35"/>
      <c r="AJ18" s="24">
        <f>IF(AN18=0,L18,0)</f>
        <v>0</v>
      </c>
      <c r="AK18" s="24">
        <f>IF(AN18=15,L18,0)</f>
        <v>0</v>
      </c>
      <c r="AL18" s="24">
        <f>IF(AN18=21,L18,0)</f>
        <v>0</v>
      </c>
      <c r="AN18" s="37">
        <v>21</v>
      </c>
      <c r="AO18" s="37">
        <f>I18*0</f>
        <v>0</v>
      </c>
      <c r="AP18" s="37">
        <f>I18*(1-0)</f>
        <v>0</v>
      </c>
      <c r="AQ18" s="38" t="s">
        <v>7</v>
      </c>
      <c r="AV18" s="37">
        <f>AW18+AX18</f>
        <v>0</v>
      </c>
      <c r="AW18" s="37">
        <f>H18*AO18</f>
        <v>0</v>
      </c>
      <c r="AX18" s="37">
        <f>H18*AP18</f>
        <v>0</v>
      </c>
      <c r="AY18" s="40" t="s">
        <v>1195</v>
      </c>
      <c r="AZ18" s="40" t="s">
        <v>1250</v>
      </c>
      <c r="BA18" s="35" t="s">
        <v>1262</v>
      </c>
      <c r="BC18" s="37">
        <f>AW18+AX18</f>
        <v>0</v>
      </c>
      <c r="BD18" s="37">
        <f>I18/(100-BE18)*100</f>
        <v>0</v>
      </c>
      <c r="BE18" s="37">
        <v>0</v>
      </c>
      <c r="BF18" s="37">
        <f>N18</f>
        <v>288</v>
      </c>
      <c r="BH18" s="24">
        <f>H18*AO18</f>
        <v>0</v>
      </c>
      <c r="BI18" s="24">
        <f>H18*AP18</f>
        <v>0</v>
      </c>
      <c r="BJ18" s="24">
        <f>H18*I18</f>
        <v>0</v>
      </c>
      <c r="BK18" s="24" t="s">
        <v>1267</v>
      </c>
      <c r="BL18" s="37" t="s">
        <v>347</v>
      </c>
    </row>
    <row r="19" spans="1:64" x14ac:dyDescent="0.25">
      <c r="A19" s="6"/>
      <c r="B19" s="15" t="s">
        <v>18</v>
      </c>
      <c r="C19" s="132" t="s">
        <v>702</v>
      </c>
      <c r="D19" s="133"/>
      <c r="E19" s="133"/>
      <c r="F19" s="133"/>
      <c r="G19" s="22" t="s">
        <v>6</v>
      </c>
      <c r="H19" s="22" t="s">
        <v>6</v>
      </c>
      <c r="I19" s="22" t="s">
        <v>6</v>
      </c>
      <c r="J19" s="43">
        <f>SUM(J20:J22)</f>
        <v>0</v>
      </c>
      <c r="K19" s="43">
        <f>SUM(K20:K22)</f>
        <v>0</v>
      </c>
      <c r="L19" s="43">
        <f>SUM(L20:L22)</f>
        <v>0</v>
      </c>
      <c r="M19" s="35"/>
      <c r="N19" s="47">
        <f>SUM(N20:N22)</f>
        <v>428.82000000000005</v>
      </c>
      <c r="O19" s="5"/>
      <c r="AI19" s="35"/>
      <c r="AS19" s="43">
        <f>SUM(AJ20:AJ22)</f>
        <v>0</v>
      </c>
      <c r="AT19" s="43">
        <f>SUM(AK20:AK22)</f>
        <v>0</v>
      </c>
      <c r="AU19" s="43">
        <f>SUM(AL20:AL22)</f>
        <v>0</v>
      </c>
    </row>
    <row r="20" spans="1:64" x14ac:dyDescent="0.25">
      <c r="A20" s="4" t="s">
        <v>11</v>
      </c>
      <c r="B20" s="14" t="s">
        <v>349</v>
      </c>
      <c r="C20" s="130" t="s">
        <v>703</v>
      </c>
      <c r="D20" s="131"/>
      <c r="E20" s="131"/>
      <c r="F20" s="131"/>
      <c r="G20" s="14" t="s">
        <v>1167</v>
      </c>
      <c r="H20" s="24">
        <v>10.210000000000001</v>
      </c>
      <c r="I20" s="24">
        <v>0</v>
      </c>
      <c r="J20" s="24">
        <f>H20*AO20</f>
        <v>0</v>
      </c>
      <c r="K20" s="24">
        <f>H20*AP20</f>
        <v>0</v>
      </c>
      <c r="L20" s="24">
        <f>H20*I20</f>
        <v>0</v>
      </c>
      <c r="M20" s="24">
        <v>0</v>
      </c>
      <c r="N20" s="46">
        <f>H20*20</f>
        <v>204.20000000000002</v>
      </c>
      <c r="O20" s="5"/>
      <c r="Z20" s="37">
        <f>IF(AQ20="5",BJ20,0)</f>
        <v>0</v>
      </c>
      <c r="AB20" s="37">
        <f>IF(AQ20="1",BH20,0)</f>
        <v>0</v>
      </c>
      <c r="AC20" s="37">
        <f>IF(AQ20="1",BI20,0)</f>
        <v>0</v>
      </c>
      <c r="AD20" s="37">
        <f>IF(AQ20="7",BH20,0)</f>
        <v>0</v>
      </c>
      <c r="AE20" s="37">
        <f>IF(AQ20="7",BI20,0)</f>
        <v>0</v>
      </c>
      <c r="AF20" s="37">
        <f>IF(AQ20="2",BH20,0)</f>
        <v>0</v>
      </c>
      <c r="AG20" s="37">
        <f>IF(AQ20="2",BI20,0)</f>
        <v>0</v>
      </c>
      <c r="AH20" s="37">
        <f>IF(AQ20="0",BJ20,0)</f>
        <v>0</v>
      </c>
      <c r="AI20" s="35"/>
      <c r="AJ20" s="24">
        <f>IF(AN20=0,L20,0)</f>
        <v>0</v>
      </c>
      <c r="AK20" s="24">
        <f>IF(AN20=15,L20,0)</f>
        <v>0</v>
      </c>
      <c r="AL20" s="24">
        <f>IF(AN20=21,L20,0)</f>
        <v>0</v>
      </c>
      <c r="AN20" s="37">
        <v>21</v>
      </c>
      <c r="AO20" s="37">
        <f>I20*0</f>
        <v>0</v>
      </c>
      <c r="AP20" s="37">
        <f>I20*(1-0)</f>
        <v>0</v>
      </c>
      <c r="AQ20" s="38" t="s">
        <v>7</v>
      </c>
      <c r="AV20" s="37">
        <f>AW20+AX20</f>
        <v>0</v>
      </c>
      <c r="AW20" s="37">
        <f>H20*AO20</f>
        <v>0</v>
      </c>
      <c r="AX20" s="37">
        <f>H20*AP20</f>
        <v>0</v>
      </c>
      <c r="AY20" s="40" t="s">
        <v>1196</v>
      </c>
      <c r="AZ20" s="40" t="s">
        <v>1250</v>
      </c>
      <c r="BA20" s="35" t="s">
        <v>1262</v>
      </c>
      <c r="BC20" s="37">
        <f>AW20+AX20</f>
        <v>0</v>
      </c>
      <c r="BD20" s="37">
        <f>I20/(100-BE20)*100</f>
        <v>0</v>
      </c>
      <c r="BE20" s="37">
        <v>0</v>
      </c>
      <c r="BF20" s="37">
        <f>N20</f>
        <v>204.20000000000002</v>
      </c>
      <c r="BH20" s="24">
        <f>H20*AO20</f>
        <v>0</v>
      </c>
      <c r="BI20" s="24">
        <f>H20*AP20</f>
        <v>0</v>
      </c>
      <c r="BJ20" s="24">
        <f>H20*I20</f>
        <v>0</v>
      </c>
      <c r="BK20" s="24" t="s">
        <v>1267</v>
      </c>
      <c r="BL20" s="37">
        <v>12</v>
      </c>
    </row>
    <row r="21" spans="1:64" x14ac:dyDescent="0.25">
      <c r="A21" s="5"/>
      <c r="C21" s="18" t="s">
        <v>704</v>
      </c>
      <c r="F21" s="20"/>
      <c r="H21" s="25">
        <v>10.210000000000001</v>
      </c>
      <c r="N21" s="36"/>
      <c r="O21" s="5"/>
    </row>
    <row r="22" spans="1:64" x14ac:dyDescent="0.25">
      <c r="A22" s="4" t="s">
        <v>12</v>
      </c>
      <c r="B22" s="14" t="s">
        <v>350</v>
      </c>
      <c r="C22" s="130" t="s">
        <v>705</v>
      </c>
      <c r="D22" s="131"/>
      <c r="E22" s="131"/>
      <c r="F22" s="131"/>
      <c r="G22" s="14" t="s">
        <v>1167</v>
      </c>
      <c r="H22" s="24">
        <v>10.210000000000001</v>
      </c>
      <c r="I22" s="24">
        <v>0</v>
      </c>
      <c r="J22" s="24">
        <f>H22*AO22</f>
        <v>0</v>
      </c>
      <c r="K22" s="24">
        <f>H22*AP22</f>
        <v>0</v>
      </c>
      <c r="L22" s="24">
        <f>H22*I22</f>
        <v>0</v>
      </c>
      <c r="M22" s="24">
        <v>0</v>
      </c>
      <c r="N22" s="46">
        <f>H22*22</f>
        <v>224.62</v>
      </c>
      <c r="O22" s="5"/>
      <c r="Z22" s="37">
        <f>IF(AQ22="5",BJ22,0)</f>
        <v>0</v>
      </c>
      <c r="AB22" s="37">
        <f>IF(AQ22="1",BH22,0)</f>
        <v>0</v>
      </c>
      <c r="AC22" s="37">
        <f>IF(AQ22="1",BI22,0)</f>
        <v>0</v>
      </c>
      <c r="AD22" s="37">
        <f>IF(AQ22="7",BH22,0)</f>
        <v>0</v>
      </c>
      <c r="AE22" s="37">
        <f>IF(AQ22="7",BI22,0)</f>
        <v>0</v>
      </c>
      <c r="AF22" s="37">
        <f>IF(AQ22="2",BH22,0)</f>
        <v>0</v>
      </c>
      <c r="AG22" s="37">
        <f>IF(AQ22="2",BI22,0)</f>
        <v>0</v>
      </c>
      <c r="AH22" s="37">
        <f>IF(AQ22="0",BJ22,0)</f>
        <v>0</v>
      </c>
      <c r="AI22" s="35"/>
      <c r="AJ22" s="24">
        <f>IF(AN22=0,L22,0)</f>
        <v>0</v>
      </c>
      <c r="AK22" s="24">
        <f>IF(AN22=15,L22,0)</f>
        <v>0</v>
      </c>
      <c r="AL22" s="24">
        <f>IF(AN22=21,L22,0)</f>
        <v>0</v>
      </c>
      <c r="AN22" s="37">
        <v>21</v>
      </c>
      <c r="AO22" s="37">
        <f>I22*0</f>
        <v>0</v>
      </c>
      <c r="AP22" s="37">
        <f>I22*(1-0)</f>
        <v>0</v>
      </c>
      <c r="AQ22" s="38" t="s">
        <v>7</v>
      </c>
      <c r="AV22" s="37">
        <f>AW22+AX22</f>
        <v>0</v>
      </c>
      <c r="AW22" s="37">
        <f>H22*AO22</f>
        <v>0</v>
      </c>
      <c r="AX22" s="37">
        <f>H22*AP22</f>
        <v>0</v>
      </c>
      <c r="AY22" s="40" t="s">
        <v>1196</v>
      </c>
      <c r="AZ22" s="40" t="s">
        <v>1250</v>
      </c>
      <c r="BA22" s="35" t="s">
        <v>1262</v>
      </c>
      <c r="BC22" s="37">
        <f>AW22+AX22</f>
        <v>0</v>
      </c>
      <c r="BD22" s="37">
        <f>I22/(100-BE22)*100</f>
        <v>0</v>
      </c>
      <c r="BE22" s="37">
        <v>0</v>
      </c>
      <c r="BF22" s="37">
        <f>N22</f>
        <v>224.62</v>
      </c>
      <c r="BH22" s="24">
        <f>H22*AO22</f>
        <v>0</v>
      </c>
      <c r="BI22" s="24">
        <f>H22*AP22</f>
        <v>0</v>
      </c>
      <c r="BJ22" s="24">
        <f>H22*I22</f>
        <v>0</v>
      </c>
      <c r="BK22" s="24" t="s">
        <v>1267</v>
      </c>
      <c r="BL22" s="37">
        <v>12</v>
      </c>
    </row>
    <row r="23" spans="1:64" x14ac:dyDescent="0.25">
      <c r="A23" s="5"/>
      <c r="C23" s="18" t="s">
        <v>704</v>
      </c>
      <c r="F23" s="20" t="s">
        <v>1126</v>
      </c>
      <c r="H23" s="25">
        <v>10.210000000000001</v>
      </c>
      <c r="N23" s="36"/>
      <c r="O23" s="5"/>
    </row>
    <row r="24" spans="1:64" x14ac:dyDescent="0.25">
      <c r="A24" s="6"/>
      <c r="B24" s="15" t="s">
        <v>19</v>
      </c>
      <c r="C24" s="132" t="s">
        <v>706</v>
      </c>
      <c r="D24" s="133"/>
      <c r="E24" s="133"/>
      <c r="F24" s="133"/>
      <c r="G24" s="22" t="s">
        <v>6</v>
      </c>
      <c r="H24" s="22" t="s">
        <v>6</v>
      </c>
      <c r="I24" s="22" t="s">
        <v>6</v>
      </c>
      <c r="J24" s="43">
        <f>SUM(J25:J25)</f>
        <v>0</v>
      </c>
      <c r="K24" s="43">
        <f>SUM(K25:K25)</f>
        <v>0</v>
      </c>
      <c r="L24" s="43">
        <f>SUM(L25:L25)</f>
        <v>0</v>
      </c>
      <c r="M24" s="35"/>
      <c r="N24" s="47">
        <f>SUM(N25:N25)</f>
        <v>258.5</v>
      </c>
      <c r="O24" s="5"/>
      <c r="AI24" s="35"/>
      <c r="AS24" s="43">
        <f>SUM(AJ25:AJ25)</f>
        <v>0</v>
      </c>
      <c r="AT24" s="43">
        <f>SUM(AK25:AK25)</f>
        <v>0</v>
      </c>
      <c r="AU24" s="43">
        <f>SUM(AL25:AL25)</f>
        <v>0</v>
      </c>
    </row>
    <row r="25" spans="1:64" x14ac:dyDescent="0.25">
      <c r="A25" s="4" t="s">
        <v>13</v>
      </c>
      <c r="B25" s="14" t="s">
        <v>351</v>
      </c>
      <c r="C25" s="130" t="s">
        <v>707</v>
      </c>
      <c r="D25" s="131"/>
      <c r="E25" s="131"/>
      <c r="F25" s="131"/>
      <c r="G25" s="14" t="s">
        <v>1167</v>
      </c>
      <c r="H25" s="24">
        <v>10.34</v>
      </c>
      <c r="I25" s="24">
        <v>0</v>
      </c>
      <c r="J25" s="24">
        <f>H25*AO25</f>
        <v>0</v>
      </c>
      <c r="K25" s="24">
        <f>H25*AP25</f>
        <v>0</v>
      </c>
      <c r="L25" s="24">
        <f>H25*I25</f>
        <v>0</v>
      </c>
      <c r="M25" s="24">
        <v>0</v>
      </c>
      <c r="N25" s="46">
        <f>H25*25</f>
        <v>258.5</v>
      </c>
      <c r="O25" s="5"/>
      <c r="Z25" s="37">
        <f>IF(AQ25="5",BJ25,0)</f>
        <v>0</v>
      </c>
      <c r="AB25" s="37">
        <f>IF(AQ25="1",BH25,0)</f>
        <v>0</v>
      </c>
      <c r="AC25" s="37">
        <f>IF(AQ25="1",BI25,0)</f>
        <v>0</v>
      </c>
      <c r="AD25" s="37">
        <f>IF(AQ25="7",BH25,0)</f>
        <v>0</v>
      </c>
      <c r="AE25" s="37">
        <f>IF(AQ25="7",BI25,0)</f>
        <v>0</v>
      </c>
      <c r="AF25" s="37">
        <f>IF(AQ25="2",BH25,0)</f>
        <v>0</v>
      </c>
      <c r="AG25" s="37">
        <f>IF(AQ25="2",BI25,0)</f>
        <v>0</v>
      </c>
      <c r="AH25" s="37">
        <f>IF(AQ25="0",BJ25,0)</f>
        <v>0</v>
      </c>
      <c r="AI25" s="35"/>
      <c r="AJ25" s="24">
        <f>IF(AN25=0,L25,0)</f>
        <v>0</v>
      </c>
      <c r="AK25" s="24">
        <f>IF(AN25=15,L25,0)</f>
        <v>0</v>
      </c>
      <c r="AL25" s="24">
        <f>IF(AN25=21,L25,0)</f>
        <v>0</v>
      </c>
      <c r="AN25" s="37">
        <v>21</v>
      </c>
      <c r="AO25" s="37">
        <f>I25*0</f>
        <v>0</v>
      </c>
      <c r="AP25" s="37">
        <f>I25*(1-0)</f>
        <v>0</v>
      </c>
      <c r="AQ25" s="38" t="s">
        <v>7</v>
      </c>
      <c r="AV25" s="37">
        <f>AW25+AX25</f>
        <v>0</v>
      </c>
      <c r="AW25" s="37">
        <f>H25*AO25</f>
        <v>0</v>
      </c>
      <c r="AX25" s="37">
        <f>H25*AP25</f>
        <v>0</v>
      </c>
      <c r="AY25" s="40" t="s">
        <v>1197</v>
      </c>
      <c r="AZ25" s="40" t="s">
        <v>1250</v>
      </c>
      <c r="BA25" s="35" t="s">
        <v>1262</v>
      </c>
      <c r="BC25" s="37">
        <f>AW25+AX25</f>
        <v>0</v>
      </c>
      <c r="BD25" s="37">
        <f>I25/(100-BE25)*100</f>
        <v>0</v>
      </c>
      <c r="BE25" s="37">
        <v>0</v>
      </c>
      <c r="BF25" s="37">
        <f>N25</f>
        <v>258.5</v>
      </c>
      <c r="BH25" s="24">
        <f>H25*AO25</f>
        <v>0</v>
      </c>
      <c r="BI25" s="24">
        <f>H25*AP25</f>
        <v>0</v>
      </c>
      <c r="BJ25" s="24">
        <f>H25*I25</f>
        <v>0</v>
      </c>
      <c r="BK25" s="24" t="s">
        <v>1267</v>
      </c>
      <c r="BL25" s="37">
        <v>13</v>
      </c>
    </row>
    <row r="26" spans="1:64" x14ac:dyDescent="0.25">
      <c r="A26" s="5"/>
      <c r="C26" s="18" t="s">
        <v>708</v>
      </c>
      <c r="F26" s="20" t="s">
        <v>1127</v>
      </c>
      <c r="H26" s="25">
        <v>10.34</v>
      </c>
      <c r="N26" s="36"/>
      <c r="O26" s="5"/>
    </row>
    <row r="27" spans="1:64" x14ac:dyDescent="0.25">
      <c r="A27" s="6"/>
      <c r="B27" s="15" t="s">
        <v>22</v>
      </c>
      <c r="C27" s="132" t="s">
        <v>709</v>
      </c>
      <c r="D27" s="133"/>
      <c r="E27" s="133"/>
      <c r="F27" s="133"/>
      <c r="G27" s="22" t="s">
        <v>6</v>
      </c>
      <c r="H27" s="22" t="s">
        <v>6</v>
      </c>
      <c r="I27" s="22" t="s">
        <v>6</v>
      </c>
      <c r="J27" s="43">
        <f>SUM(J28:J31)</f>
        <v>0</v>
      </c>
      <c r="K27" s="43">
        <f>SUM(K28:K31)</f>
        <v>0</v>
      </c>
      <c r="L27" s="43">
        <f>SUM(L28:L31)</f>
        <v>0</v>
      </c>
      <c r="M27" s="35"/>
      <c r="N27" s="47">
        <f>SUM(N28:N31)</f>
        <v>2474.2000000000003</v>
      </c>
      <c r="O27" s="5"/>
      <c r="AI27" s="35"/>
      <c r="AS27" s="43">
        <f>SUM(AJ28:AJ31)</f>
        <v>0</v>
      </c>
      <c r="AT27" s="43">
        <f>SUM(AK28:AK31)</f>
        <v>0</v>
      </c>
      <c r="AU27" s="43">
        <f>SUM(AL28:AL31)</f>
        <v>0</v>
      </c>
    </row>
    <row r="28" spans="1:64" x14ac:dyDescent="0.25">
      <c r="A28" s="4" t="s">
        <v>14</v>
      </c>
      <c r="B28" s="14" t="s">
        <v>352</v>
      </c>
      <c r="C28" s="130" t="s">
        <v>710</v>
      </c>
      <c r="D28" s="131"/>
      <c r="E28" s="131"/>
      <c r="F28" s="131"/>
      <c r="G28" s="14" t="s">
        <v>1167</v>
      </c>
      <c r="H28" s="24">
        <v>27.8</v>
      </c>
      <c r="I28" s="24">
        <v>0</v>
      </c>
      <c r="J28" s="24">
        <f>H28*AO28</f>
        <v>0</v>
      </c>
      <c r="K28" s="24">
        <f>H28*AP28</f>
        <v>0</v>
      </c>
      <c r="L28" s="24">
        <f>H28*I28</f>
        <v>0</v>
      </c>
      <c r="M28" s="24">
        <v>0</v>
      </c>
      <c r="N28" s="46">
        <f>H28*28</f>
        <v>778.4</v>
      </c>
      <c r="O28" s="5"/>
      <c r="Z28" s="37">
        <f>IF(AQ28="5",BJ28,0)</f>
        <v>0</v>
      </c>
      <c r="AB28" s="37">
        <f>IF(AQ28="1",BH28,0)</f>
        <v>0</v>
      </c>
      <c r="AC28" s="37">
        <f>IF(AQ28="1",BI28,0)</f>
        <v>0</v>
      </c>
      <c r="AD28" s="37">
        <f>IF(AQ28="7",BH28,0)</f>
        <v>0</v>
      </c>
      <c r="AE28" s="37">
        <f>IF(AQ28="7",BI28,0)</f>
        <v>0</v>
      </c>
      <c r="AF28" s="37">
        <f>IF(AQ28="2",BH28,0)</f>
        <v>0</v>
      </c>
      <c r="AG28" s="37">
        <f>IF(AQ28="2",BI28,0)</f>
        <v>0</v>
      </c>
      <c r="AH28" s="37">
        <f>IF(AQ28="0",BJ28,0)</f>
        <v>0</v>
      </c>
      <c r="AI28" s="35"/>
      <c r="AJ28" s="24">
        <f>IF(AN28=0,L28,0)</f>
        <v>0</v>
      </c>
      <c r="AK28" s="24">
        <f>IF(AN28=15,L28,0)</f>
        <v>0</v>
      </c>
      <c r="AL28" s="24">
        <f>IF(AN28=21,L28,0)</f>
        <v>0</v>
      </c>
      <c r="AN28" s="37">
        <v>21</v>
      </c>
      <c r="AO28" s="37">
        <f>I28*0</f>
        <v>0</v>
      </c>
      <c r="AP28" s="37">
        <f>I28*(1-0)</f>
        <v>0</v>
      </c>
      <c r="AQ28" s="38" t="s">
        <v>7</v>
      </c>
      <c r="AV28" s="37">
        <f>AW28+AX28</f>
        <v>0</v>
      </c>
      <c r="AW28" s="37">
        <f>H28*AO28</f>
        <v>0</v>
      </c>
      <c r="AX28" s="37">
        <f>H28*AP28</f>
        <v>0</v>
      </c>
      <c r="AY28" s="40" t="s">
        <v>1198</v>
      </c>
      <c r="AZ28" s="40" t="s">
        <v>1250</v>
      </c>
      <c r="BA28" s="35" t="s">
        <v>1262</v>
      </c>
      <c r="BC28" s="37">
        <f>AW28+AX28</f>
        <v>0</v>
      </c>
      <c r="BD28" s="37">
        <f>I28/(100-BE28)*100</f>
        <v>0</v>
      </c>
      <c r="BE28" s="37">
        <v>0</v>
      </c>
      <c r="BF28" s="37">
        <f>N28</f>
        <v>778.4</v>
      </c>
      <c r="BH28" s="24">
        <f>H28*AO28</f>
        <v>0</v>
      </c>
      <c r="BI28" s="24">
        <f>H28*AP28</f>
        <v>0</v>
      </c>
      <c r="BJ28" s="24">
        <f>H28*I28</f>
        <v>0</v>
      </c>
      <c r="BK28" s="24" t="s">
        <v>1267</v>
      </c>
      <c r="BL28" s="37">
        <v>16</v>
      </c>
    </row>
    <row r="29" spans="1:64" x14ac:dyDescent="0.25">
      <c r="A29" s="5"/>
      <c r="C29" s="18" t="s">
        <v>711</v>
      </c>
      <c r="F29" s="20" t="s">
        <v>1128</v>
      </c>
      <c r="H29" s="25">
        <v>27.8</v>
      </c>
      <c r="N29" s="36"/>
      <c r="O29" s="5"/>
    </row>
    <row r="30" spans="1:64" x14ac:dyDescent="0.25">
      <c r="A30" s="4" t="s">
        <v>15</v>
      </c>
      <c r="B30" s="14" t="s">
        <v>353</v>
      </c>
      <c r="C30" s="130" t="s">
        <v>712</v>
      </c>
      <c r="D30" s="131"/>
      <c r="E30" s="131"/>
      <c r="F30" s="131"/>
      <c r="G30" s="14" t="s">
        <v>1167</v>
      </c>
      <c r="H30" s="24">
        <v>27.8</v>
      </c>
      <c r="I30" s="24">
        <v>0</v>
      </c>
      <c r="J30" s="24">
        <f>H30*AO30</f>
        <v>0</v>
      </c>
      <c r="K30" s="24">
        <f>H30*AP30</f>
        <v>0</v>
      </c>
      <c r="L30" s="24">
        <f>H30*I30</f>
        <v>0</v>
      </c>
      <c r="M30" s="24">
        <v>0</v>
      </c>
      <c r="N30" s="46">
        <f>H30*30</f>
        <v>834</v>
      </c>
      <c r="O30" s="5"/>
      <c r="Z30" s="37">
        <f>IF(AQ30="5",BJ30,0)</f>
        <v>0</v>
      </c>
      <c r="AB30" s="37">
        <f>IF(AQ30="1",BH30,0)</f>
        <v>0</v>
      </c>
      <c r="AC30" s="37">
        <f>IF(AQ30="1",BI30,0)</f>
        <v>0</v>
      </c>
      <c r="AD30" s="37">
        <f>IF(AQ30="7",BH30,0)</f>
        <v>0</v>
      </c>
      <c r="AE30" s="37">
        <f>IF(AQ30="7",BI30,0)</f>
        <v>0</v>
      </c>
      <c r="AF30" s="37">
        <f>IF(AQ30="2",BH30,0)</f>
        <v>0</v>
      </c>
      <c r="AG30" s="37">
        <f>IF(AQ30="2",BI30,0)</f>
        <v>0</v>
      </c>
      <c r="AH30" s="37">
        <f>IF(AQ30="0",BJ30,0)</f>
        <v>0</v>
      </c>
      <c r="AI30" s="35"/>
      <c r="AJ30" s="24">
        <f>IF(AN30=0,L30,0)</f>
        <v>0</v>
      </c>
      <c r="AK30" s="24">
        <f>IF(AN30=15,L30,0)</f>
        <v>0</v>
      </c>
      <c r="AL30" s="24">
        <f>IF(AN30=21,L30,0)</f>
        <v>0</v>
      </c>
      <c r="AN30" s="37">
        <v>21</v>
      </c>
      <c r="AO30" s="37">
        <f>I30*0</f>
        <v>0</v>
      </c>
      <c r="AP30" s="37">
        <f>I30*(1-0)</f>
        <v>0</v>
      </c>
      <c r="AQ30" s="38" t="s">
        <v>7</v>
      </c>
      <c r="AV30" s="37">
        <f>AW30+AX30</f>
        <v>0</v>
      </c>
      <c r="AW30" s="37">
        <f>H30*AO30</f>
        <v>0</v>
      </c>
      <c r="AX30" s="37">
        <f>H30*AP30</f>
        <v>0</v>
      </c>
      <c r="AY30" s="40" t="s">
        <v>1198</v>
      </c>
      <c r="AZ30" s="40" t="s">
        <v>1250</v>
      </c>
      <c r="BA30" s="35" t="s">
        <v>1262</v>
      </c>
      <c r="BC30" s="37">
        <f>AW30+AX30</f>
        <v>0</v>
      </c>
      <c r="BD30" s="37">
        <f>I30/(100-BE30)*100</f>
        <v>0</v>
      </c>
      <c r="BE30" s="37">
        <v>0</v>
      </c>
      <c r="BF30" s="37">
        <f>N30</f>
        <v>834</v>
      </c>
      <c r="BH30" s="24">
        <f>H30*AO30</f>
        <v>0</v>
      </c>
      <c r="BI30" s="24">
        <f>H30*AP30</f>
        <v>0</v>
      </c>
      <c r="BJ30" s="24">
        <f>H30*I30</f>
        <v>0</v>
      </c>
      <c r="BK30" s="24" t="s">
        <v>1267</v>
      </c>
      <c r="BL30" s="37">
        <v>16</v>
      </c>
    </row>
    <row r="31" spans="1:64" x14ac:dyDescent="0.25">
      <c r="A31" s="4" t="s">
        <v>16</v>
      </c>
      <c r="B31" s="14" t="s">
        <v>354</v>
      </c>
      <c r="C31" s="130" t="s">
        <v>713</v>
      </c>
      <c r="D31" s="131"/>
      <c r="E31" s="131"/>
      <c r="F31" s="131"/>
      <c r="G31" s="14" t="s">
        <v>1167</v>
      </c>
      <c r="H31" s="24">
        <v>27.8</v>
      </c>
      <c r="I31" s="24">
        <v>0</v>
      </c>
      <c r="J31" s="24">
        <f>H31*AO31</f>
        <v>0</v>
      </c>
      <c r="K31" s="24">
        <f>H31*AP31</f>
        <v>0</v>
      </c>
      <c r="L31" s="24">
        <f>H31*I31</f>
        <v>0</v>
      </c>
      <c r="M31" s="24">
        <v>0</v>
      </c>
      <c r="N31" s="46">
        <f>H31*31</f>
        <v>861.80000000000007</v>
      </c>
      <c r="O31" s="5"/>
      <c r="Z31" s="37">
        <f>IF(AQ31="5",BJ31,0)</f>
        <v>0</v>
      </c>
      <c r="AB31" s="37">
        <f>IF(AQ31="1",BH31,0)</f>
        <v>0</v>
      </c>
      <c r="AC31" s="37">
        <f>IF(AQ31="1",BI31,0)</f>
        <v>0</v>
      </c>
      <c r="AD31" s="37">
        <f>IF(AQ31="7",BH31,0)</f>
        <v>0</v>
      </c>
      <c r="AE31" s="37">
        <f>IF(AQ31="7",BI31,0)</f>
        <v>0</v>
      </c>
      <c r="AF31" s="37">
        <f>IF(AQ31="2",BH31,0)</f>
        <v>0</v>
      </c>
      <c r="AG31" s="37">
        <f>IF(AQ31="2",BI31,0)</f>
        <v>0</v>
      </c>
      <c r="AH31" s="37">
        <f>IF(AQ31="0",BJ31,0)</f>
        <v>0</v>
      </c>
      <c r="AI31" s="35"/>
      <c r="AJ31" s="24">
        <f>IF(AN31=0,L31,0)</f>
        <v>0</v>
      </c>
      <c r="AK31" s="24">
        <f>IF(AN31=15,L31,0)</f>
        <v>0</v>
      </c>
      <c r="AL31" s="24">
        <f>IF(AN31=21,L31,0)</f>
        <v>0</v>
      </c>
      <c r="AN31" s="37">
        <v>21</v>
      </c>
      <c r="AO31" s="37">
        <f>I31*0</f>
        <v>0</v>
      </c>
      <c r="AP31" s="37">
        <f>I31*(1-0)</f>
        <v>0</v>
      </c>
      <c r="AQ31" s="38" t="s">
        <v>7</v>
      </c>
      <c r="AV31" s="37">
        <f>AW31+AX31</f>
        <v>0</v>
      </c>
      <c r="AW31" s="37">
        <f>H31*AO31</f>
        <v>0</v>
      </c>
      <c r="AX31" s="37">
        <f>H31*AP31</f>
        <v>0</v>
      </c>
      <c r="AY31" s="40" t="s">
        <v>1198</v>
      </c>
      <c r="AZ31" s="40" t="s">
        <v>1250</v>
      </c>
      <c r="BA31" s="35" t="s">
        <v>1262</v>
      </c>
      <c r="BC31" s="37">
        <f>AW31+AX31</f>
        <v>0</v>
      </c>
      <c r="BD31" s="37">
        <f>I31/(100-BE31)*100</f>
        <v>0</v>
      </c>
      <c r="BE31" s="37">
        <v>0</v>
      </c>
      <c r="BF31" s="37">
        <f>N31</f>
        <v>861.80000000000007</v>
      </c>
      <c r="BH31" s="24">
        <f>H31*AO31</f>
        <v>0</v>
      </c>
      <c r="BI31" s="24">
        <f>H31*AP31</f>
        <v>0</v>
      </c>
      <c r="BJ31" s="24">
        <f>H31*I31</f>
        <v>0</v>
      </c>
      <c r="BK31" s="24" t="s">
        <v>1267</v>
      </c>
      <c r="BL31" s="37">
        <v>16</v>
      </c>
    </row>
    <row r="32" spans="1:64" x14ac:dyDescent="0.25">
      <c r="A32" s="6"/>
      <c r="B32" s="15" t="s">
        <v>23</v>
      </c>
      <c r="C32" s="132" t="s">
        <v>714</v>
      </c>
      <c r="D32" s="133"/>
      <c r="E32" s="133"/>
      <c r="F32" s="133"/>
      <c r="G32" s="22" t="s">
        <v>6</v>
      </c>
      <c r="H32" s="22" t="s">
        <v>6</v>
      </c>
      <c r="I32" s="22" t="s">
        <v>6</v>
      </c>
      <c r="J32" s="43">
        <f>SUM(J33:J42)</f>
        <v>0</v>
      </c>
      <c r="K32" s="43">
        <f>SUM(K33:K42)</f>
        <v>0</v>
      </c>
      <c r="L32" s="43">
        <f>SUM(L33:L42)</f>
        <v>0</v>
      </c>
      <c r="M32" s="35"/>
      <c r="N32" s="47">
        <f>SUM(N33:N42)</f>
        <v>5297.2300000000005</v>
      </c>
      <c r="O32" s="5"/>
      <c r="AI32" s="35"/>
      <c r="AS32" s="43">
        <f>SUM(AJ33:AJ42)</f>
        <v>0</v>
      </c>
      <c r="AT32" s="43">
        <f>SUM(AK33:AK42)</f>
        <v>0</v>
      </c>
      <c r="AU32" s="43">
        <f>SUM(AL33:AL42)</f>
        <v>0</v>
      </c>
    </row>
    <row r="33" spans="1:64" x14ac:dyDescent="0.25">
      <c r="A33" s="4" t="s">
        <v>17</v>
      </c>
      <c r="B33" s="14" t="s">
        <v>355</v>
      </c>
      <c r="C33" s="130" t="s">
        <v>715</v>
      </c>
      <c r="D33" s="131"/>
      <c r="E33" s="131"/>
      <c r="F33" s="131"/>
      <c r="G33" s="14" t="s">
        <v>1167</v>
      </c>
      <c r="H33" s="24">
        <v>7.07</v>
      </c>
      <c r="I33" s="24">
        <v>0</v>
      </c>
      <c r="J33" s="24">
        <f>H33*AO33</f>
        <v>0</v>
      </c>
      <c r="K33" s="24">
        <f>H33*AP33</f>
        <v>0</v>
      </c>
      <c r="L33" s="24">
        <f>H33*I33</f>
        <v>0</v>
      </c>
      <c r="M33" s="24">
        <v>0</v>
      </c>
      <c r="N33" s="46">
        <f>H33*33</f>
        <v>233.31</v>
      </c>
      <c r="O33" s="5"/>
      <c r="Z33" s="37">
        <f>IF(AQ33="5",BJ33,0)</f>
        <v>0</v>
      </c>
      <c r="AB33" s="37">
        <f>IF(AQ33="1",BH33,0)</f>
        <v>0</v>
      </c>
      <c r="AC33" s="37">
        <f>IF(AQ33="1",BI33,0)</f>
        <v>0</v>
      </c>
      <c r="AD33" s="37">
        <f>IF(AQ33="7",BH33,0)</f>
        <v>0</v>
      </c>
      <c r="AE33" s="37">
        <f>IF(AQ33="7",BI33,0)</f>
        <v>0</v>
      </c>
      <c r="AF33" s="37">
        <f>IF(AQ33="2",BH33,0)</f>
        <v>0</v>
      </c>
      <c r="AG33" s="37">
        <f>IF(AQ33="2",BI33,0)</f>
        <v>0</v>
      </c>
      <c r="AH33" s="37">
        <f>IF(AQ33="0",BJ33,0)</f>
        <v>0</v>
      </c>
      <c r="AI33" s="35"/>
      <c r="AJ33" s="24">
        <f>IF(AN33=0,L33,0)</f>
        <v>0</v>
      </c>
      <c r="AK33" s="24">
        <f>IF(AN33=15,L33,0)</f>
        <v>0</v>
      </c>
      <c r="AL33" s="24">
        <f>IF(AN33=21,L33,0)</f>
        <v>0</v>
      </c>
      <c r="AN33" s="37">
        <v>21</v>
      </c>
      <c r="AO33" s="37">
        <f>I33*0</f>
        <v>0</v>
      </c>
      <c r="AP33" s="37">
        <f>I33*(1-0)</f>
        <v>0</v>
      </c>
      <c r="AQ33" s="38" t="s">
        <v>7</v>
      </c>
      <c r="AV33" s="37">
        <f>AW33+AX33</f>
        <v>0</v>
      </c>
      <c r="AW33" s="37">
        <f>H33*AO33</f>
        <v>0</v>
      </c>
      <c r="AX33" s="37">
        <f>H33*AP33</f>
        <v>0</v>
      </c>
      <c r="AY33" s="40" t="s">
        <v>1199</v>
      </c>
      <c r="AZ33" s="40" t="s">
        <v>1250</v>
      </c>
      <c r="BA33" s="35" t="s">
        <v>1262</v>
      </c>
      <c r="BC33" s="37">
        <f>AW33+AX33</f>
        <v>0</v>
      </c>
      <c r="BD33" s="37">
        <f>I33/(100-BE33)*100</f>
        <v>0</v>
      </c>
      <c r="BE33" s="37">
        <v>0</v>
      </c>
      <c r="BF33" s="37">
        <f>N33</f>
        <v>233.31</v>
      </c>
      <c r="BH33" s="24">
        <f>H33*AO33</f>
        <v>0</v>
      </c>
      <c r="BI33" s="24">
        <f>H33*AP33</f>
        <v>0</v>
      </c>
      <c r="BJ33" s="24">
        <f>H33*I33</f>
        <v>0</v>
      </c>
      <c r="BK33" s="24" t="s">
        <v>1267</v>
      </c>
      <c r="BL33" s="37">
        <v>17</v>
      </c>
    </row>
    <row r="34" spans="1:64" x14ac:dyDescent="0.25">
      <c r="A34" s="5"/>
      <c r="C34" s="18" t="s">
        <v>716</v>
      </c>
      <c r="F34" s="20" t="s">
        <v>1129</v>
      </c>
      <c r="H34" s="25">
        <v>7.07</v>
      </c>
      <c r="N34" s="36"/>
      <c r="O34" s="5"/>
    </row>
    <row r="35" spans="1:64" x14ac:dyDescent="0.25">
      <c r="A35" s="5"/>
      <c r="C35" s="18" t="s">
        <v>717</v>
      </c>
      <c r="F35" s="20"/>
      <c r="H35" s="25">
        <v>0</v>
      </c>
      <c r="N35" s="36"/>
      <c r="O35" s="5"/>
    </row>
    <row r="36" spans="1:64" x14ac:dyDescent="0.25">
      <c r="A36" s="4" t="s">
        <v>18</v>
      </c>
      <c r="B36" s="14" t="s">
        <v>356</v>
      </c>
      <c r="C36" s="130" t="s">
        <v>718</v>
      </c>
      <c r="D36" s="131"/>
      <c r="E36" s="131"/>
      <c r="F36" s="131"/>
      <c r="G36" s="14" t="s">
        <v>1167</v>
      </c>
      <c r="H36" s="24">
        <v>4.2699999999999996</v>
      </c>
      <c r="I36" s="24">
        <v>0</v>
      </c>
      <c r="J36" s="24">
        <f>H36*AO36</f>
        <v>0</v>
      </c>
      <c r="K36" s="24">
        <f>H36*AP36</f>
        <v>0</v>
      </c>
      <c r="L36" s="24">
        <f>H36*I36</f>
        <v>0</v>
      </c>
      <c r="M36" s="24">
        <v>0</v>
      </c>
      <c r="N36" s="46">
        <f>H36*36</f>
        <v>153.71999999999997</v>
      </c>
      <c r="O36" s="5"/>
      <c r="Z36" s="37">
        <f>IF(AQ36="5",BJ36,0)</f>
        <v>0</v>
      </c>
      <c r="AB36" s="37">
        <f>IF(AQ36="1",BH36,0)</f>
        <v>0</v>
      </c>
      <c r="AC36" s="37">
        <f>IF(AQ36="1",BI36,0)</f>
        <v>0</v>
      </c>
      <c r="AD36" s="37">
        <f>IF(AQ36="7",BH36,0)</f>
        <v>0</v>
      </c>
      <c r="AE36" s="37">
        <f>IF(AQ36="7",BI36,0)</f>
        <v>0</v>
      </c>
      <c r="AF36" s="37">
        <f>IF(AQ36="2",BH36,0)</f>
        <v>0</v>
      </c>
      <c r="AG36" s="37">
        <f>IF(AQ36="2",BI36,0)</f>
        <v>0</v>
      </c>
      <c r="AH36" s="37">
        <f>IF(AQ36="0",BJ36,0)</f>
        <v>0</v>
      </c>
      <c r="AI36" s="35"/>
      <c r="AJ36" s="24">
        <f>IF(AN36=0,L36,0)</f>
        <v>0</v>
      </c>
      <c r="AK36" s="24">
        <f>IF(AN36=15,L36,0)</f>
        <v>0</v>
      </c>
      <c r="AL36" s="24">
        <f>IF(AN36=21,L36,0)</f>
        <v>0</v>
      </c>
      <c r="AN36" s="37">
        <v>21</v>
      </c>
      <c r="AO36" s="37">
        <f>I36*0</f>
        <v>0</v>
      </c>
      <c r="AP36" s="37">
        <f>I36*(1-0)</f>
        <v>0</v>
      </c>
      <c r="AQ36" s="38" t="s">
        <v>7</v>
      </c>
      <c r="AV36" s="37">
        <f>AW36+AX36</f>
        <v>0</v>
      </c>
      <c r="AW36" s="37">
        <f>H36*AO36</f>
        <v>0</v>
      </c>
      <c r="AX36" s="37">
        <f>H36*AP36</f>
        <v>0</v>
      </c>
      <c r="AY36" s="40" t="s">
        <v>1199</v>
      </c>
      <c r="AZ36" s="40" t="s">
        <v>1250</v>
      </c>
      <c r="BA36" s="35" t="s">
        <v>1262</v>
      </c>
      <c r="BC36" s="37">
        <f>AW36+AX36</f>
        <v>0</v>
      </c>
      <c r="BD36" s="37">
        <f>I36/(100-BE36)*100</f>
        <v>0</v>
      </c>
      <c r="BE36" s="37">
        <v>0</v>
      </c>
      <c r="BF36" s="37">
        <f>N36</f>
        <v>153.71999999999997</v>
      </c>
      <c r="BH36" s="24">
        <f>H36*AO36</f>
        <v>0</v>
      </c>
      <c r="BI36" s="24">
        <f>H36*AP36</f>
        <v>0</v>
      </c>
      <c r="BJ36" s="24">
        <f>H36*I36</f>
        <v>0</v>
      </c>
      <c r="BK36" s="24" t="s">
        <v>1267</v>
      </c>
      <c r="BL36" s="37">
        <v>17</v>
      </c>
    </row>
    <row r="37" spans="1:64" x14ac:dyDescent="0.25">
      <c r="A37" s="5"/>
      <c r="C37" s="18" t="s">
        <v>719</v>
      </c>
      <c r="F37" s="20" t="s">
        <v>1130</v>
      </c>
      <c r="H37" s="25">
        <v>4.2699999999999996</v>
      </c>
      <c r="N37" s="36"/>
      <c r="O37" s="5"/>
    </row>
    <row r="38" spans="1:64" x14ac:dyDescent="0.25">
      <c r="A38" s="7" t="s">
        <v>19</v>
      </c>
      <c r="B38" s="16" t="s">
        <v>357</v>
      </c>
      <c r="C38" s="134" t="s">
        <v>720</v>
      </c>
      <c r="D38" s="135"/>
      <c r="E38" s="135"/>
      <c r="F38" s="135"/>
      <c r="G38" s="16" t="s">
        <v>1168</v>
      </c>
      <c r="H38" s="26">
        <v>11.45</v>
      </c>
      <c r="I38" s="26">
        <v>0</v>
      </c>
      <c r="J38" s="26">
        <f>H38*AO38</f>
        <v>0</v>
      </c>
      <c r="K38" s="26">
        <f>H38*AP38</f>
        <v>0</v>
      </c>
      <c r="L38" s="26">
        <f>H38*I38</f>
        <v>0</v>
      </c>
      <c r="M38" s="26">
        <v>1</v>
      </c>
      <c r="N38" s="48">
        <f>H38*38</f>
        <v>435.09999999999997</v>
      </c>
      <c r="O38" s="5"/>
      <c r="Z38" s="37">
        <f>IF(AQ38="5",BJ38,0)</f>
        <v>0</v>
      </c>
      <c r="AB38" s="37">
        <f>IF(AQ38="1",BH38,0)</f>
        <v>0</v>
      </c>
      <c r="AC38" s="37">
        <f>IF(AQ38="1",BI38,0)</f>
        <v>0</v>
      </c>
      <c r="AD38" s="37">
        <f>IF(AQ38="7",BH38,0)</f>
        <v>0</v>
      </c>
      <c r="AE38" s="37">
        <f>IF(AQ38="7",BI38,0)</f>
        <v>0</v>
      </c>
      <c r="AF38" s="37">
        <f>IF(AQ38="2",BH38,0)</f>
        <v>0</v>
      </c>
      <c r="AG38" s="37">
        <f>IF(AQ38="2",BI38,0)</f>
        <v>0</v>
      </c>
      <c r="AH38" s="37">
        <f>IF(AQ38="0",BJ38,0)</f>
        <v>0</v>
      </c>
      <c r="AI38" s="35"/>
      <c r="AJ38" s="26">
        <f>IF(AN38=0,L38,0)</f>
        <v>0</v>
      </c>
      <c r="AK38" s="26">
        <f>IF(AN38=15,L38,0)</f>
        <v>0</v>
      </c>
      <c r="AL38" s="26">
        <f>IF(AN38=21,L38,0)</f>
        <v>0</v>
      </c>
      <c r="AN38" s="37">
        <v>21</v>
      </c>
      <c r="AO38" s="37">
        <f>I38*1</f>
        <v>0</v>
      </c>
      <c r="AP38" s="37">
        <f>I38*(1-1)</f>
        <v>0</v>
      </c>
      <c r="AQ38" s="39" t="s">
        <v>7</v>
      </c>
      <c r="AV38" s="37">
        <f>AW38+AX38</f>
        <v>0</v>
      </c>
      <c r="AW38" s="37">
        <f>H38*AO38</f>
        <v>0</v>
      </c>
      <c r="AX38" s="37">
        <f>H38*AP38</f>
        <v>0</v>
      </c>
      <c r="AY38" s="40" t="s">
        <v>1199</v>
      </c>
      <c r="AZ38" s="40" t="s">
        <v>1250</v>
      </c>
      <c r="BA38" s="35" t="s">
        <v>1262</v>
      </c>
      <c r="BC38" s="37">
        <f>AW38+AX38</f>
        <v>0</v>
      </c>
      <c r="BD38" s="37">
        <f>I38/(100-BE38)*100</f>
        <v>0</v>
      </c>
      <c r="BE38" s="37">
        <v>0</v>
      </c>
      <c r="BF38" s="37">
        <f>N38</f>
        <v>435.09999999999997</v>
      </c>
      <c r="BH38" s="26">
        <f>H38*AO38</f>
        <v>0</v>
      </c>
      <c r="BI38" s="26">
        <f>H38*AP38</f>
        <v>0</v>
      </c>
      <c r="BJ38" s="26">
        <f>H38*I38</f>
        <v>0</v>
      </c>
      <c r="BK38" s="26" t="s">
        <v>1268</v>
      </c>
      <c r="BL38" s="37">
        <v>17</v>
      </c>
    </row>
    <row r="39" spans="1:64" x14ac:dyDescent="0.25">
      <c r="A39" s="5"/>
      <c r="C39" s="18" t="s">
        <v>721</v>
      </c>
      <c r="F39" s="20" t="s">
        <v>1131</v>
      </c>
      <c r="H39" s="25">
        <v>11.45</v>
      </c>
      <c r="N39" s="36"/>
      <c r="O39" s="5"/>
    </row>
    <row r="40" spans="1:64" x14ac:dyDescent="0.25">
      <c r="A40" s="4" t="s">
        <v>20</v>
      </c>
      <c r="B40" s="14" t="s">
        <v>358</v>
      </c>
      <c r="C40" s="130" t="s">
        <v>722</v>
      </c>
      <c r="D40" s="131"/>
      <c r="E40" s="131"/>
      <c r="F40" s="131"/>
      <c r="G40" s="14" t="s">
        <v>1169</v>
      </c>
      <c r="H40" s="24">
        <v>68.040000000000006</v>
      </c>
      <c r="I40" s="24">
        <v>0</v>
      </c>
      <c r="J40" s="24">
        <f>H40*AO40</f>
        <v>0</v>
      </c>
      <c r="K40" s="24">
        <f>H40*AP40</f>
        <v>0</v>
      </c>
      <c r="L40" s="24">
        <f>H40*I40</f>
        <v>0</v>
      </c>
      <c r="M40" s="24">
        <v>0.44529000000000002</v>
      </c>
      <c r="N40" s="46">
        <f>H40*40</f>
        <v>2721.6000000000004</v>
      </c>
      <c r="O40" s="5"/>
      <c r="Z40" s="37">
        <f>IF(AQ40="5",BJ40,0)</f>
        <v>0</v>
      </c>
      <c r="AB40" s="37">
        <f>IF(AQ40="1",BH40,0)</f>
        <v>0</v>
      </c>
      <c r="AC40" s="37">
        <f>IF(AQ40="1",BI40,0)</f>
        <v>0</v>
      </c>
      <c r="AD40" s="37">
        <f>IF(AQ40="7",BH40,0)</f>
        <v>0</v>
      </c>
      <c r="AE40" s="37">
        <f>IF(AQ40="7",BI40,0)</f>
        <v>0</v>
      </c>
      <c r="AF40" s="37">
        <f>IF(AQ40="2",BH40,0)</f>
        <v>0</v>
      </c>
      <c r="AG40" s="37">
        <f>IF(AQ40="2",BI40,0)</f>
        <v>0</v>
      </c>
      <c r="AH40" s="37">
        <f>IF(AQ40="0",BJ40,0)</f>
        <v>0</v>
      </c>
      <c r="AI40" s="35"/>
      <c r="AJ40" s="24">
        <f>IF(AN40=0,L40,0)</f>
        <v>0</v>
      </c>
      <c r="AK40" s="24">
        <f>IF(AN40=15,L40,0)</f>
        <v>0</v>
      </c>
      <c r="AL40" s="24">
        <f>IF(AN40=21,L40,0)</f>
        <v>0</v>
      </c>
      <c r="AN40" s="37">
        <v>21</v>
      </c>
      <c r="AO40" s="37">
        <f>I40*0.851456831790964</f>
        <v>0</v>
      </c>
      <c r="AP40" s="37">
        <f>I40*(1-0.851456831790964)</f>
        <v>0</v>
      </c>
      <c r="AQ40" s="38" t="s">
        <v>7</v>
      </c>
      <c r="AV40" s="37">
        <f>AW40+AX40</f>
        <v>0</v>
      </c>
      <c r="AW40" s="37">
        <f>H40*AO40</f>
        <v>0</v>
      </c>
      <c r="AX40" s="37">
        <f>H40*AP40</f>
        <v>0</v>
      </c>
      <c r="AY40" s="40" t="s">
        <v>1199</v>
      </c>
      <c r="AZ40" s="40" t="s">
        <v>1250</v>
      </c>
      <c r="BA40" s="35" t="s">
        <v>1262</v>
      </c>
      <c r="BC40" s="37">
        <f>AW40+AX40</f>
        <v>0</v>
      </c>
      <c r="BD40" s="37">
        <f>I40/(100-BE40)*100</f>
        <v>0</v>
      </c>
      <c r="BE40" s="37">
        <v>0</v>
      </c>
      <c r="BF40" s="37">
        <f>N40</f>
        <v>2721.6000000000004</v>
      </c>
      <c r="BH40" s="24">
        <f>H40*AO40</f>
        <v>0</v>
      </c>
      <c r="BI40" s="24">
        <f>H40*AP40</f>
        <v>0</v>
      </c>
      <c r="BJ40" s="24">
        <f>H40*I40</f>
        <v>0</v>
      </c>
      <c r="BK40" s="24" t="s">
        <v>1267</v>
      </c>
      <c r="BL40" s="37">
        <v>17</v>
      </c>
    </row>
    <row r="41" spans="1:64" x14ac:dyDescent="0.25">
      <c r="A41" s="5"/>
      <c r="C41" s="18" t="s">
        <v>723</v>
      </c>
      <c r="F41" s="20" t="s">
        <v>1132</v>
      </c>
      <c r="H41" s="25">
        <v>68.040000000000006</v>
      </c>
      <c r="N41" s="36"/>
      <c r="O41" s="5"/>
    </row>
    <row r="42" spans="1:64" x14ac:dyDescent="0.25">
      <c r="A42" s="4" t="s">
        <v>21</v>
      </c>
      <c r="B42" s="14" t="s">
        <v>359</v>
      </c>
      <c r="C42" s="130" t="s">
        <v>724</v>
      </c>
      <c r="D42" s="131"/>
      <c r="E42" s="131"/>
      <c r="F42" s="131"/>
      <c r="G42" s="14" t="s">
        <v>1168</v>
      </c>
      <c r="H42" s="24">
        <v>41.75</v>
      </c>
      <c r="I42" s="24">
        <v>0</v>
      </c>
      <c r="J42" s="24">
        <f>H42*AO42</f>
        <v>0</v>
      </c>
      <c r="K42" s="24">
        <f>H42*AP42</f>
        <v>0</v>
      </c>
      <c r="L42" s="24">
        <f>H42*I42</f>
        <v>0</v>
      </c>
      <c r="M42" s="24">
        <v>0</v>
      </c>
      <c r="N42" s="46">
        <f>H42*42</f>
        <v>1753.5</v>
      </c>
      <c r="O42" s="5"/>
      <c r="Z42" s="37">
        <f>IF(AQ42="5",BJ42,0)</f>
        <v>0</v>
      </c>
      <c r="AB42" s="37">
        <f>IF(AQ42="1",BH42,0)</f>
        <v>0</v>
      </c>
      <c r="AC42" s="37">
        <f>IF(AQ42="1",BI42,0)</f>
        <v>0</v>
      </c>
      <c r="AD42" s="37">
        <f>IF(AQ42="7",BH42,0)</f>
        <v>0</v>
      </c>
      <c r="AE42" s="37">
        <f>IF(AQ42="7",BI42,0)</f>
        <v>0</v>
      </c>
      <c r="AF42" s="37">
        <f>IF(AQ42="2",BH42,0)</f>
        <v>0</v>
      </c>
      <c r="AG42" s="37">
        <f>IF(AQ42="2",BI42,0)</f>
        <v>0</v>
      </c>
      <c r="AH42" s="37">
        <f>IF(AQ42="0",BJ42,0)</f>
        <v>0</v>
      </c>
      <c r="AI42" s="35"/>
      <c r="AJ42" s="24">
        <f>IF(AN42=0,L42,0)</f>
        <v>0</v>
      </c>
      <c r="AK42" s="24">
        <f>IF(AN42=15,L42,0)</f>
        <v>0</v>
      </c>
      <c r="AL42" s="24">
        <f>IF(AN42=21,L42,0)</f>
        <v>0</v>
      </c>
      <c r="AN42" s="37">
        <v>21</v>
      </c>
      <c r="AO42" s="37">
        <f>I42*0</f>
        <v>0</v>
      </c>
      <c r="AP42" s="37">
        <f>I42*(1-0)</f>
        <v>0</v>
      </c>
      <c r="AQ42" s="38" t="s">
        <v>11</v>
      </c>
      <c r="AV42" s="37">
        <f>AW42+AX42</f>
        <v>0</v>
      </c>
      <c r="AW42" s="37">
        <f>H42*AO42</f>
        <v>0</v>
      </c>
      <c r="AX42" s="37">
        <f>H42*AP42</f>
        <v>0</v>
      </c>
      <c r="AY42" s="40" t="s">
        <v>1199</v>
      </c>
      <c r="AZ42" s="40" t="s">
        <v>1250</v>
      </c>
      <c r="BA42" s="35" t="s">
        <v>1262</v>
      </c>
      <c r="BC42" s="37">
        <f>AW42+AX42</f>
        <v>0</v>
      </c>
      <c r="BD42" s="37">
        <f>I42/(100-BE42)*100</f>
        <v>0</v>
      </c>
      <c r="BE42" s="37">
        <v>0</v>
      </c>
      <c r="BF42" s="37">
        <f>N42</f>
        <v>1753.5</v>
      </c>
      <c r="BH42" s="24">
        <f>H42*AO42</f>
        <v>0</v>
      </c>
      <c r="BI42" s="24">
        <f>H42*AP42</f>
        <v>0</v>
      </c>
      <c r="BJ42" s="24">
        <f>H42*I42</f>
        <v>0</v>
      </c>
      <c r="BK42" s="24" t="s">
        <v>1267</v>
      </c>
      <c r="BL42" s="37">
        <v>17</v>
      </c>
    </row>
    <row r="43" spans="1:64" x14ac:dyDescent="0.25">
      <c r="A43" s="5"/>
      <c r="C43" s="18" t="s">
        <v>725</v>
      </c>
      <c r="F43" s="20"/>
      <c r="H43" s="25">
        <v>41.75</v>
      </c>
      <c r="N43" s="36"/>
      <c r="O43" s="5"/>
    </row>
    <row r="44" spans="1:64" x14ac:dyDescent="0.25">
      <c r="A44" s="6"/>
      <c r="B44" s="15" t="s">
        <v>37</v>
      </c>
      <c r="C44" s="132" t="s">
        <v>726</v>
      </c>
      <c r="D44" s="133"/>
      <c r="E44" s="133"/>
      <c r="F44" s="133"/>
      <c r="G44" s="22" t="s">
        <v>6</v>
      </c>
      <c r="H44" s="22" t="s">
        <v>6</v>
      </c>
      <c r="I44" s="22" t="s">
        <v>6</v>
      </c>
      <c r="J44" s="43">
        <f>SUM(J45:J50)</f>
        <v>0</v>
      </c>
      <c r="K44" s="43">
        <f>SUM(K45:K50)</f>
        <v>0</v>
      </c>
      <c r="L44" s="43">
        <f>SUM(L45:L50)</f>
        <v>0</v>
      </c>
      <c r="M44" s="35"/>
      <c r="N44" s="47">
        <f>SUM(N45:N50)</f>
        <v>963</v>
      </c>
      <c r="O44" s="5"/>
      <c r="AI44" s="35"/>
      <c r="AS44" s="43">
        <f>SUM(AJ45:AJ50)</f>
        <v>0</v>
      </c>
      <c r="AT44" s="43">
        <f>SUM(AK45:AK50)</f>
        <v>0</v>
      </c>
      <c r="AU44" s="43">
        <f>SUM(AL45:AL50)</f>
        <v>0</v>
      </c>
    </row>
    <row r="45" spans="1:64" x14ac:dyDescent="0.25">
      <c r="A45" s="4" t="s">
        <v>22</v>
      </c>
      <c r="B45" s="14" t="s">
        <v>360</v>
      </c>
      <c r="C45" s="130" t="s">
        <v>727</v>
      </c>
      <c r="D45" s="131"/>
      <c r="E45" s="131"/>
      <c r="F45" s="131"/>
      <c r="G45" s="14" t="s">
        <v>1170</v>
      </c>
      <c r="H45" s="24">
        <v>2</v>
      </c>
      <c r="I45" s="24">
        <v>0</v>
      </c>
      <c r="J45" s="24">
        <f t="shared" ref="J45:J50" si="0">H45*AO45</f>
        <v>0</v>
      </c>
      <c r="K45" s="24">
        <f t="shared" ref="K45:K50" si="1">H45*AP45</f>
        <v>0</v>
      </c>
      <c r="L45" s="24">
        <f t="shared" ref="L45:L50" si="2">H45*I45</f>
        <v>0</v>
      </c>
      <c r="M45" s="24">
        <v>6.5199999999999998E-3</v>
      </c>
      <c r="N45" s="46">
        <f>H45*45</f>
        <v>90</v>
      </c>
      <c r="O45" s="5"/>
      <c r="Z45" s="37">
        <f t="shared" ref="Z45:Z50" si="3">IF(AQ45="5",BJ45,0)</f>
        <v>0</v>
      </c>
      <c r="AB45" s="37">
        <f t="shared" ref="AB45:AB50" si="4">IF(AQ45="1",BH45,0)</f>
        <v>0</v>
      </c>
      <c r="AC45" s="37">
        <f t="shared" ref="AC45:AC50" si="5">IF(AQ45="1",BI45,0)</f>
        <v>0</v>
      </c>
      <c r="AD45" s="37">
        <f t="shared" ref="AD45:AD50" si="6">IF(AQ45="7",BH45,0)</f>
        <v>0</v>
      </c>
      <c r="AE45" s="37">
        <f t="shared" ref="AE45:AE50" si="7">IF(AQ45="7",BI45,0)</f>
        <v>0</v>
      </c>
      <c r="AF45" s="37">
        <f t="shared" ref="AF45:AF50" si="8">IF(AQ45="2",BH45,0)</f>
        <v>0</v>
      </c>
      <c r="AG45" s="37">
        <f t="shared" ref="AG45:AG50" si="9">IF(AQ45="2",BI45,0)</f>
        <v>0</v>
      </c>
      <c r="AH45" s="37">
        <f t="shared" ref="AH45:AH50" si="10">IF(AQ45="0",BJ45,0)</f>
        <v>0</v>
      </c>
      <c r="AI45" s="35"/>
      <c r="AJ45" s="24">
        <f t="shared" ref="AJ45:AJ50" si="11">IF(AN45=0,L45,0)</f>
        <v>0</v>
      </c>
      <c r="AK45" s="24">
        <f t="shared" ref="AK45:AK50" si="12">IF(AN45=15,L45,0)</f>
        <v>0</v>
      </c>
      <c r="AL45" s="24">
        <f t="shared" ref="AL45:AL50" si="13">IF(AN45=21,L45,0)</f>
        <v>0</v>
      </c>
      <c r="AN45" s="37">
        <v>21</v>
      </c>
      <c r="AO45" s="37">
        <f>I45*0.204015444015444</f>
        <v>0</v>
      </c>
      <c r="AP45" s="37">
        <f>I45*(1-0.204015444015444)</f>
        <v>0</v>
      </c>
      <c r="AQ45" s="38" t="s">
        <v>7</v>
      </c>
      <c r="AV45" s="37">
        <f t="shared" ref="AV45:AV50" si="14">AW45+AX45</f>
        <v>0</v>
      </c>
      <c r="AW45" s="37">
        <f t="shared" ref="AW45:AW50" si="15">H45*AO45</f>
        <v>0</v>
      </c>
      <c r="AX45" s="37">
        <f t="shared" ref="AX45:AX50" si="16">H45*AP45</f>
        <v>0</v>
      </c>
      <c r="AY45" s="40" t="s">
        <v>1200</v>
      </c>
      <c r="AZ45" s="40" t="s">
        <v>1251</v>
      </c>
      <c r="BA45" s="35" t="s">
        <v>1262</v>
      </c>
      <c r="BC45" s="37">
        <f t="shared" ref="BC45:BC50" si="17">AW45+AX45</f>
        <v>0</v>
      </c>
      <c r="BD45" s="37">
        <f t="shared" ref="BD45:BD50" si="18">I45/(100-BE45)*100</f>
        <v>0</v>
      </c>
      <c r="BE45" s="37">
        <v>0</v>
      </c>
      <c r="BF45" s="37">
        <f t="shared" ref="BF45:BF50" si="19">N45</f>
        <v>90</v>
      </c>
      <c r="BH45" s="24">
        <f t="shared" ref="BH45:BH50" si="20">H45*AO45</f>
        <v>0</v>
      </c>
      <c r="BI45" s="24">
        <f t="shared" ref="BI45:BI50" si="21">H45*AP45</f>
        <v>0</v>
      </c>
      <c r="BJ45" s="24">
        <f t="shared" ref="BJ45:BJ50" si="22">H45*I45</f>
        <v>0</v>
      </c>
      <c r="BK45" s="24" t="s">
        <v>1267</v>
      </c>
      <c r="BL45" s="37">
        <v>31</v>
      </c>
    </row>
    <row r="46" spans="1:64" x14ac:dyDescent="0.25">
      <c r="A46" s="4" t="s">
        <v>23</v>
      </c>
      <c r="B46" s="14" t="s">
        <v>361</v>
      </c>
      <c r="C46" s="130" t="s">
        <v>728</v>
      </c>
      <c r="D46" s="131"/>
      <c r="E46" s="131"/>
      <c r="F46" s="131"/>
      <c r="G46" s="14" t="s">
        <v>1170</v>
      </c>
      <c r="H46" s="24">
        <v>4</v>
      </c>
      <c r="I46" s="24">
        <v>0</v>
      </c>
      <c r="J46" s="24">
        <f t="shared" si="0"/>
        <v>0</v>
      </c>
      <c r="K46" s="24">
        <f t="shared" si="1"/>
        <v>0</v>
      </c>
      <c r="L46" s="24">
        <f t="shared" si="2"/>
        <v>0</v>
      </c>
      <c r="M46" s="24">
        <v>0.11122</v>
      </c>
      <c r="N46" s="46">
        <f>H46*46</f>
        <v>184</v>
      </c>
      <c r="O46" s="5"/>
      <c r="Z46" s="37">
        <f t="shared" si="3"/>
        <v>0</v>
      </c>
      <c r="AB46" s="37">
        <f t="shared" si="4"/>
        <v>0</v>
      </c>
      <c r="AC46" s="37">
        <f t="shared" si="5"/>
        <v>0</v>
      </c>
      <c r="AD46" s="37">
        <f t="shared" si="6"/>
        <v>0</v>
      </c>
      <c r="AE46" s="37">
        <f t="shared" si="7"/>
        <v>0</v>
      </c>
      <c r="AF46" s="37">
        <f t="shared" si="8"/>
        <v>0</v>
      </c>
      <c r="AG46" s="37">
        <f t="shared" si="9"/>
        <v>0</v>
      </c>
      <c r="AH46" s="37">
        <f t="shared" si="10"/>
        <v>0</v>
      </c>
      <c r="AI46" s="35"/>
      <c r="AJ46" s="24">
        <f t="shared" si="11"/>
        <v>0</v>
      </c>
      <c r="AK46" s="24">
        <f t="shared" si="12"/>
        <v>0</v>
      </c>
      <c r="AL46" s="24">
        <f t="shared" si="13"/>
        <v>0</v>
      </c>
      <c r="AN46" s="37">
        <v>21</v>
      </c>
      <c r="AO46" s="37">
        <f>I46*0.547090239410681</f>
        <v>0</v>
      </c>
      <c r="AP46" s="37">
        <f>I46*(1-0.547090239410681)</f>
        <v>0</v>
      </c>
      <c r="AQ46" s="38" t="s">
        <v>7</v>
      </c>
      <c r="AV46" s="37">
        <f t="shared" si="14"/>
        <v>0</v>
      </c>
      <c r="AW46" s="37">
        <f t="shared" si="15"/>
        <v>0</v>
      </c>
      <c r="AX46" s="37">
        <f t="shared" si="16"/>
        <v>0</v>
      </c>
      <c r="AY46" s="40" t="s">
        <v>1200</v>
      </c>
      <c r="AZ46" s="40" t="s">
        <v>1251</v>
      </c>
      <c r="BA46" s="35" t="s">
        <v>1262</v>
      </c>
      <c r="BC46" s="37">
        <f t="shared" si="17"/>
        <v>0</v>
      </c>
      <c r="BD46" s="37">
        <f t="shared" si="18"/>
        <v>0</v>
      </c>
      <c r="BE46" s="37">
        <v>0</v>
      </c>
      <c r="BF46" s="37">
        <f t="shared" si="19"/>
        <v>184</v>
      </c>
      <c r="BH46" s="24">
        <f t="shared" si="20"/>
        <v>0</v>
      </c>
      <c r="BI46" s="24">
        <f t="shared" si="21"/>
        <v>0</v>
      </c>
      <c r="BJ46" s="24">
        <f t="shared" si="22"/>
        <v>0</v>
      </c>
      <c r="BK46" s="24" t="s">
        <v>1267</v>
      </c>
      <c r="BL46" s="37">
        <v>31</v>
      </c>
    </row>
    <row r="47" spans="1:64" x14ac:dyDescent="0.25">
      <c r="A47" s="4" t="s">
        <v>24</v>
      </c>
      <c r="B47" s="14" t="s">
        <v>362</v>
      </c>
      <c r="C47" s="130" t="s">
        <v>729</v>
      </c>
      <c r="D47" s="131"/>
      <c r="E47" s="131"/>
      <c r="F47" s="131"/>
      <c r="G47" s="14" t="s">
        <v>1170</v>
      </c>
      <c r="H47" s="24">
        <v>1</v>
      </c>
      <c r="I47" s="24">
        <v>0</v>
      </c>
      <c r="J47" s="24">
        <f t="shared" si="0"/>
        <v>0</v>
      </c>
      <c r="K47" s="24">
        <f t="shared" si="1"/>
        <v>0</v>
      </c>
      <c r="L47" s="24">
        <f t="shared" si="2"/>
        <v>0</v>
      </c>
      <c r="M47" s="24">
        <v>5.1499999999999997E-2</v>
      </c>
      <c r="N47" s="46">
        <f>H47*47</f>
        <v>47</v>
      </c>
      <c r="O47" s="5"/>
      <c r="Z47" s="37">
        <f t="shared" si="3"/>
        <v>0</v>
      </c>
      <c r="AB47" s="37">
        <f t="shared" si="4"/>
        <v>0</v>
      </c>
      <c r="AC47" s="37">
        <f t="shared" si="5"/>
        <v>0</v>
      </c>
      <c r="AD47" s="37">
        <f t="shared" si="6"/>
        <v>0</v>
      </c>
      <c r="AE47" s="37">
        <f t="shared" si="7"/>
        <v>0</v>
      </c>
      <c r="AF47" s="37">
        <f t="shared" si="8"/>
        <v>0</v>
      </c>
      <c r="AG47" s="37">
        <f t="shared" si="9"/>
        <v>0</v>
      </c>
      <c r="AH47" s="37">
        <f t="shared" si="10"/>
        <v>0</v>
      </c>
      <c r="AI47" s="35"/>
      <c r="AJ47" s="24">
        <f t="shared" si="11"/>
        <v>0</v>
      </c>
      <c r="AK47" s="24">
        <f t="shared" si="12"/>
        <v>0</v>
      </c>
      <c r="AL47" s="24">
        <f t="shared" si="13"/>
        <v>0</v>
      </c>
      <c r="AN47" s="37">
        <v>21</v>
      </c>
      <c r="AO47" s="37">
        <f>I47*0</f>
        <v>0</v>
      </c>
      <c r="AP47" s="37">
        <f>I47*(1-0)</f>
        <v>0</v>
      </c>
      <c r="AQ47" s="38" t="s">
        <v>7</v>
      </c>
      <c r="AV47" s="37">
        <f t="shared" si="14"/>
        <v>0</v>
      </c>
      <c r="AW47" s="37">
        <f t="shared" si="15"/>
        <v>0</v>
      </c>
      <c r="AX47" s="37">
        <f t="shared" si="16"/>
        <v>0</v>
      </c>
      <c r="AY47" s="40" t="s">
        <v>1200</v>
      </c>
      <c r="AZ47" s="40" t="s">
        <v>1251</v>
      </c>
      <c r="BA47" s="35" t="s">
        <v>1262</v>
      </c>
      <c r="BC47" s="37">
        <f t="shared" si="17"/>
        <v>0</v>
      </c>
      <c r="BD47" s="37">
        <f t="shared" si="18"/>
        <v>0</v>
      </c>
      <c r="BE47" s="37">
        <v>0</v>
      </c>
      <c r="BF47" s="37">
        <f t="shared" si="19"/>
        <v>47</v>
      </c>
      <c r="BH47" s="24">
        <f t="shared" si="20"/>
        <v>0</v>
      </c>
      <c r="BI47" s="24">
        <f t="shared" si="21"/>
        <v>0</v>
      </c>
      <c r="BJ47" s="24">
        <f t="shared" si="22"/>
        <v>0</v>
      </c>
      <c r="BK47" s="24" t="s">
        <v>1267</v>
      </c>
      <c r="BL47" s="37">
        <v>31</v>
      </c>
    </row>
    <row r="48" spans="1:64" x14ac:dyDescent="0.25">
      <c r="A48" s="7" t="s">
        <v>25</v>
      </c>
      <c r="B48" s="16" t="s">
        <v>363</v>
      </c>
      <c r="C48" s="134" t="s">
        <v>730</v>
      </c>
      <c r="D48" s="135"/>
      <c r="E48" s="135"/>
      <c r="F48" s="135"/>
      <c r="G48" s="16" t="s">
        <v>1170</v>
      </c>
      <c r="H48" s="26">
        <v>1</v>
      </c>
      <c r="I48" s="26">
        <v>0</v>
      </c>
      <c r="J48" s="26">
        <f t="shared" si="0"/>
        <v>0</v>
      </c>
      <c r="K48" s="26">
        <f t="shared" si="1"/>
        <v>0</v>
      </c>
      <c r="L48" s="26">
        <f t="shared" si="2"/>
        <v>0</v>
      </c>
      <c r="M48" s="26">
        <v>5.0000000000000001E-4</v>
      </c>
      <c r="N48" s="48">
        <f>H48*48</f>
        <v>48</v>
      </c>
      <c r="O48" s="5"/>
      <c r="Z48" s="37">
        <f t="shared" si="3"/>
        <v>0</v>
      </c>
      <c r="AB48" s="37">
        <f t="shared" si="4"/>
        <v>0</v>
      </c>
      <c r="AC48" s="37">
        <f t="shared" si="5"/>
        <v>0</v>
      </c>
      <c r="AD48" s="37">
        <f t="shared" si="6"/>
        <v>0</v>
      </c>
      <c r="AE48" s="37">
        <f t="shared" si="7"/>
        <v>0</v>
      </c>
      <c r="AF48" s="37">
        <f t="shared" si="8"/>
        <v>0</v>
      </c>
      <c r="AG48" s="37">
        <f t="shared" si="9"/>
        <v>0</v>
      </c>
      <c r="AH48" s="37">
        <f t="shared" si="10"/>
        <v>0</v>
      </c>
      <c r="AI48" s="35"/>
      <c r="AJ48" s="26">
        <f t="shared" si="11"/>
        <v>0</v>
      </c>
      <c r="AK48" s="26">
        <f t="shared" si="12"/>
        <v>0</v>
      </c>
      <c r="AL48" s="26">
        <f t="shared" si="13"/>
        <v>0</v>
      </c>
      <c r="AN48" s="37">
        <v>21</v>
      </c>
      <c r="AO48" s="37">
        <f>I48*1</f>
        <v>0</v>
      </c>
      <c r="AP48" s="37">
        <f>I48*(1-1)</f>
        <v>0</v>
      </c>
      <c r="AQ48" s="39" t="s">
        <v>7</v>
      </c>
      <c r="AV48" s="37">
        <f t="shared" si="14"/>
        <v>0</v>
      </c>
      <c r="AW48" s="37">
        <f t="shared" si="15"/>
        <v>0</v>
      </c>
      <c r="AX48" s="37">
        <f t="shared" si="16"/>
        <v>0</v>
      </c>
      <c r="AY48" s="40" t="s">
        <v>1200</v>
      </c>
      <c r="AZ48" s="40" t="s">
        <v>1251</v>
      </c>
      <c r="BA48" s="35" t="s">
        <v>1262</v>
      </c>
      <c r="BC48" s="37">
        <f t="shared" si="17"/>
        <v>0</v>
      </c>
      <c r="BD48" s="37">
        <f t="shared" si="18"/>
        <v>0</v>
      </c>
      <c r="BE48" s="37">
        <v>0</v>
      </c>
      <c r="BF48" s="37">
        <f t="shared" si="19"/>
        <v>48</v>
      </c>
      <c r="BH48" s="26">
        <f t="shared" si="20"/>
        <v>0</v>
      </c>
      <c r="BI48" s="26">
        <f t="shared" si="21"/>
        <v>0</v>
      </c>
      <c r="BJ48" s="26">
        <f t="shared" si="22"/>
        <v>0</v>
      </c>
      <c r="BK48" s="26" t="s">
        <v>1268</v>
      </c>
      <c r="BL48" s="37">
        <v>31</v>
      </c>
    </row>
    <row r="49" spans="1:64" x14ac:dyDescent="0.25">
      <c r="A49" s="4" t="s">
        <v>26</v>
      </c>
      <c r="B49" s="14" t="s">
        <v>362</v>
      </c>
      <c r="C49" s="130" t="s">
        <v>731</v>
      </c>
      <c r="D49" s="131"/>
      <c r="E49" s="131"/>
      <c r="F49" s="131"/>
      <c r="G49" s="14" t="s">
        <v>1170</v>
      </c>
      <c r="H49" s="24">
        <v>6</v>
      </c>
      <c r="I49" s="24">
        <v>0</v>
      </c>
      <c r="J49" s="24">
        <f t="shared" si="0"/>
        <v>0</v>
      </c>
      <c r="K49" s="24">
        <f t="shared" si="1"/>
        <v>0</v>
      </c>
      <c r="L49" s="24">
        <f t="shared" si="2"/>
        <v>0</v>
      </c>
      <c r="M49" s="24">
        <v>5.1499999999999997E-2</v>
      </c>
      <c r="N49" s="46">
        <f>H49*49</f>
        <v>294</v>
      </c>
      <c r="O49" s="5"/>
      <c r="Z49" s="37">
        <f t="shared" si="3"/>
        <v>0</v>
      </c>
      <c r="AB49" s="37">
        <f t="shared" si="4"/>
        <v>0</v>
      </c>
      <c r="AC49" s="37">
        <f t="shared" si="5"/>
        <v>0</v>
      </c>
      <c r="AD49" s="37">
        <f t="shared" si="6"/>
        <v>0</v>
      </c>
      <c r="AE49" s="37">
        <f t="shared" si="7"/>
        <v>0</v>
      </c>
      <c r="AF49" s="37">
        <f t="shared" si="8"/>
        <v>0</v>
      </c>
      <c r="AG49" s="37">
        <f t="shared" si="9"/>
        <v>0</v>
      </c>
      <c r="AH49" s="37">
        <f t="shared" si="10"/>
        <v>0</v>
      </c>
      <c r="AI49" s="35"/>
      <c r="AJ49" s="24">
        <f t="shared" si="11"/>
        <v>0</v>
      </c>
      <c r="AK49" s="24">
        <f t="shared" si="12"/>
        <v>0</v>
      </c>
      <c r="AL49" s="24">
        <f t="shared" si="13"/>
        <v>0</v>
      </c>
      <c r="AN49" s="37">
        <v>21</v>
      </c>
      <c r="AO49" s="37">
        <f>I49*0.449633848657445</f>
        <v>0</v>
      </c>
      <c r="AP49" s="37">
        <f>I49*(1-0.449633848657445)</f>
        <v>0</v>
      </c>
      <c r="AQ49" s="38" t="s">
        <v>7</v>
      </c>
      <c r="AV49" s="37">
        <f t="shared" si="14"/>
        <v>0</v>
      </c>
      <c r="AW49" s="37">
        <f t="shared" si="15"/>
        <v>0</v>
      </c>
      <c r="AX49" s="37">
        <f t="shared" si="16"/>
        <v>0</v>
      </c>
      <c r="AY49" s="40" t="s">
        <v>1200</v>
      </c>
      <c r="AZ49" s="40" t="s">
        <v>1251</v>
      </c>
      <c r="BA49" s="35" t="s">
        <v>1262</v>
      </c>
      <c r="BC49" s="37">
        <f t="shared" si="17"/>
        <v>0</v>
      </c>
      <c r="BD49" s="37">
        <f t="shared" si="18"/>
        <v>0</v>
      </c>
      <c r="BE49" s="37">
        <v>0</v>
      </c>
      <c r="BF49" s="37">
        <f t="shared" si="19"/>
        <v>294</v>
      </c>
      <c r="BH49" s="24">
        <f t="shared" si="20"/>
        <v>0</v>
      </c>
      <c r="BI49" s="24">
        <f t="shared" si="21"/>
        <v>0</v>
      </c>
      <c r="BJ49" s="24">
        <f t="shared" si="22"/>
        <v>0</v>
      </c>
      <c r="BK49" s="24" t="s">
        <v>1267</v>
      </c>
      <c r="BL49" s="37">
        <v>31</v>
      </c>
    </row>
    <row r="50" spans="1:64" x14ac:dyDescent="0.25">
      <c r="A50" s="7" t="s">
        <v>27</v>
      </c>
      <c r="B50" s="16" t="s">
        <v>364</v>
      </c>
      <c r="C50" s="134" t="s">
        <v>732</v>
      </c>
      <c r="D50" s="135"/>
      <c r="E50" s="135"/>
      <c r="F50" s="135"/>
      <c r="G50" s="16" t="s">
        <v>1170</v>
      </c>
      <c r="H50" s="26">
        <v>6</v>
      </c>
      <c r="I50" s="26">
        <v>0</v>
      </c>
      <c r="J50" s="26">
        <f t="shared" si="0"/>
        <v>0</v>
      </c>
      <c r="K50" s="26">
        <f t="shared" si="1"/>
        <v>0</v>
      </c>
      <c r="L50" s="26">
        <f t="shared" si="2"/>
        <v>0</v>
      </c>
      <c r="M50" s="26">
        <v>2.0000000000000002E-5</v>
      </c>
      <c r="N50" s="48">
        <f>H50*50</f>
        <v>300</v>
      </c>
      <c r="O50" s="5"/>
      <c r="Z50" s="37">
        <f t="shared" si="3"/>
        <v>0</v>
      </c>
      <c r="AB50" s="37">
        <f t="shared" si="4"/>
        <v>0</v>
      </c>
      <c r="AC50" s="37">
        <f t="shared" si="5"/>
        <v>0</v>
      </c>
      <c r="AD50" s="37">
        <f t="shared" si="6"/>
        <v>0</v>
      </c>
      <c r="AE50" s="37">
        <f t="shared" si="7"/>
        <v>0</v>
      </c>
      <c r="AF50" s="37">
        <f t="shared" si="8"/>
        <v>0</v>
      </c>
      <c r="AG50" s="37">
        <f t="shared" si="9"/>
        <v>0</v>
      </c>
      <c r="AH50" s="37">
        <f t="shared" si="10"/>
        <v>0</v>
      </c>
      <c r="AI50" s="35"/>
      <c r="AJ50" s="26">
        <f t="shared" si="11"/>
        <v>0</v>
      </c>
      <c r="AK50" s="26">
        <f t="shared" si="12"/>
        <v>0</v>
      </c>
      <c r="AL50" s="26">
        <f t="shared" si="13"/>
        <v>0</v>
      </c>
      <c r="AN50" s="37">
        <v>21</v>
      </c>
      <c r="AO50" s="37">
        <f>I50*1</f>
        <v>0</v>
      </c>
      <c r="AP50" s="37">
        <f>I50*(1-1)</f>
        <v>0</v>
      </c>
      <c r="AQ50" s="39" t="s">
        <v>7</v>
      </c>
      <c r="AV50" s="37">
        <f t="shared" si="14"/>
        <v>0</v>
      </c>
      <c r="AW50" s="37">
        <f t="shared" si="15"/>
        <v>0</v>
      </c>
      <c r="AX50" s="37">
        <f t="shared" si="16"/>
        <v>0</v>
      </c>
      <c r="AY50" s="40" t="s">
        <v>1200</v>
      </c>
      <c r="AZ50" s="40" t="s">
        <v>1251</v>
      </c>
      <c r="BA50" s="35" t="s">
        <v>1262</v>
      </c>
      <c r="BC50" s="37">
        <f t="shared" si="17"/>
        <v>0</v>
      </c>
      <c r="BD50" s="37">
        <f t="shared" si="18"/>
        <v>0</v>
      </c>
      <c r="BE50" s="37">
        <v>0</v>
      </c>
      <c r="BF50" s="37">
        <f t="shared" si="19"/>
        <v>300</v>
      </c>
      <c r="BH50" s="26">
        <f t="shared" si="20"/>
        <v>0</v>
      </c>
      <c r="BI50" s="26">
        <f t="shared" si="21"/>
        <v>0</v>
      </c>
      <c r="BJ50" s="26">
        <f t="shared" si="22"/>
        <v>0</v>
      </c>
      <c r="BK50" s="26" t="s">
        <v>1268</v>
      </c>
      <c r="BL50" s="37">
        <v>31</v>
      </c>
    </row>
    <row r="51" spans="1:64" x14ac:dyDescent="0.25">
      <c r="A51" s="6"/>
      <c r="B51" s="15" t="s">
        <v>39</v>
      </c>
      <c r="C51" s="132" t="s">
        <v>733</v>
      </c>
      <c r="D51" s="133"/>
      <c r="E51" s="133"/>
      <c r="F51" s="133"/>
      <c r="G51" s="22" t="s">
        <v>6</v>
      </c>
      <c r="H51" s="22" t="s">
        <v>6</v>
      </c>
      <c r="I51" s="22" t="s">
        <v>6</v>
      </c>
      <c r="J51" s="43">
        <f>SUM(J52:J61)</f>
        <v>0</v>
      </c>
      <c r="K51" s="43">
        <f>SUM(K52:K61)</f>
        <v>0</v>
      </c>
      <c r="L51" s="43">
        <f>SUM(L52:L61)</f>
        <v>0</v>
      </c>
      <c r="M51" s="35"/>
      <c r="N51" s="47">
        <f>SUM(N52:N61)</f>
        <v>2626</v>
      </c>
      <c r="O51" s="5"/>
      <c r="AI51" s="35"/>
      <c r="AS51" s="43">
        <f>SUM(AJ52:AJ61)</f>
        <v>0</v>
      </c>
      <c r="AT51" s="43">
        <f>SUM(AK52:AK61)</f>
        <v>0</v>
      </c>
      <c r="AU51" s="43">
        <f>SUM(AL52:AL61)</f>
        <v>0</v>
      </c>
    </row>
    <row r="52" spans="1:64" x14ac:dyDescent="0.25">
      <c r="A52" s="4" t="s">
        <v>28</v>
      </c>
      <c r="B52" s="14" t="s">
        <v>365</v>
      </c>
      <c r="C52" s="130" t="s">
        <v>734</v>
      </c>
      <c r="D52" s="131"/>
      <c r="E52" s="131"/>
      <c r="F52" s="131"/>
      <c r="G52" s="14" t="s">
        <v>1170</v>
      </c>
      <c r="H52" s="24">
        <v>21</v>
      </c>
      <c r="I52" s="24">
        <v>0</v>
      </c>
      <c r="J52" s="24">
        <f>H52*AO52</f>
        <v>0</v>
      </c>
      <c r="K52" s="24">
        <f>H52*AP52</f>
        <v>0</v>
      </c>
      <c r="L52" s="24">
        <f>H52*I52</f>
        <v>0</v>
      </c>
      <c r="M52" s="24">
        <v>0.1</v>
      </c>
      <c r="N52" s="46">
        <f>H52*52</f>
        <v>1092</v>
      </c>
      <c r="O52" s="5"/>
      <c r="Z52" s="37">
        <f>IF(AQ52="5",BJ52,0)</f>
        <v>0</v>
      </c>
      <c r="AB52" s="37">
        <f>IF(AQ52="1",BH52,0)</f>
        <v>0</v>
      </c>
      <c r="AC52" s="37">
        <f>IF(AQ52="1",BI52,0)</f>
        <v>0</v>
      </c>
      <c r="AD52" s="37">
        <f>IF(AQ52="7",BH52,0)</f>
        <v>0</v>
      </c>
      <c r="AE52" s="37">
        <f>IF(AQ52="7",BI52,0)</f>
        <v>0</v>
      </c>
      <c r="AF52" s="37">
        <f>IF(AQ52="2",BH52,0)</f>
        <v>0</v>
      </c>
      <c r="AG52" s="37">
        <f>IF(AQ52="2",BI52,0)</f>
        <v>0</v>
      </c>
      <c r="AH52" s="37">
        <f>IF(AQ52="0",BJ52,0)</f>
        <v>0</v>
      </c>
      <c r="AI52" s="35"/>
      <c r="AJ52" s="24">
        <f>IF(AN52=0,L52,0)</f>
        <v>0</v>
      </c>
      <c r="AK52" s="24">
        <f>IF(AN52=15,L52,0)</f>
        <v>0</v>
      </c>
      <c r="AL52" s="24">
        <f>IF(AN52=21,L52,0)</f>
        <v>0</v>
      </c>
      <c r="AN52" s="37">
        <v>21</v>
      </c>
      <c r="AO52" s="37">
        <f>I52*0.36131335320885</f>
        <v>0</v>
      </c>
      <c r="AP52" s="37">
        <f>I52*(1-0.36131335320885)</f>
        <v>0</v>
      </c>
      <c r="AQ52" s="38" t="s">
        <v>7</v>
      </c>
      <c r="AV52" s="37">
        <f>AW52+AX52</f>
        <v>0</v>
      </c>
      <c r="AW52" s="37">
        <f>H52*AO52</f>
        <v>0</v>
      </c>
      <c r="AX52" s="37">
        <f>H52*AP52</f>
        <v>0</v>
      </c>
      <c r="AY52" s="40" t="s">
        <v>1201</v>
      </c>
      <c r="AZ52" s="40" t="s">
        <v>1251</v>
      </c>
      <c r="BA52" s="35" t="s">
        <v>1262</v>
      </c>
      <c r="BC52" s="37">
        <f>AW52+AX52</f>
        <v>0</v>
      </c>
      <c r="BD52" s="37">
        <f>I52/(100-BE52)*100</f>
        <v>0</v>
      </c>
      <c r="BE52" s="37">
        <v>0</v>
      </c>
      <c r="BF52" s="37">
        <f>N52</f>
        <v>1092</v>
      </c>
      <c r="BH52" s="24">
        <f>H52*AO52</f>
        <v>0</v>
      </c>
      <c r="BI52" s="24">
        <f>H52*AP52</f>
        <v>0</v>
      </c>
      <c r="BJ52" s="24">
        <f>H52*I52</f>
        <v>0</v>
      </c>
      <c r="BK52" s="24" t="s">
        <v>1267</v>
      </c>
      <c r="BL52" s="37">
        <v>33</v>
      </c>
    </row>
    <row r="53" spans="1:64" x14ac:dyDescent="0.25">
      <c r="A53" s="5"/>
      <c r="C53" s="18" t="s">
        <v>27</v>
      </c>
      <c r="F53" s="20" t="s">
        <v>1133</v>
      </c>
      <c r="H53" s="25">
        <v>21</v>
      </c>
      <c r="N53" s="36"/>
      <c r="O53" s="5"/>
    </row>
    <row r="54" spans="1:64" x14ac:dyDescent="0.25">
      <c r="A54" s="7" t="s">
        <v>29</v>
      </c>
      <c r="B54" s="16" t="s">
        <v>366</v>
      </c>
      <c r="C54" s="134" t="s">
        <v>735</v>
      </c>
      <c r="D54" s="135"/>
      <c r="E54" s="135"/>
      <c r="F54" s="135"/>
      <c r="G54" s="16" t="s">
        <v>1171</v>
      </c>
      <c r="H54" s="26">
        <v>11</v>
      </c>
      <c r="I54" s="26">
        <v>0</v>
      </c>
      <c r="J54" s="26">
        <f>H54*AO54</f>
        <v>0</v>
      </c>
      <c r="K54" s="26">
        <f>H54*AP54</f>
        <v>0</v>
      </c>
      <c r="L54" s="26">
        <f>H54*I54</f>
        <v>0</v>
      </c>
      <c r="M54" s="26">
        <v>0.01</v>
      </c>
      <c r="N54" s="48">
        <f>H54*54</f>
        <v>594</v>
      </c>
      <c r="O54" s="5"/>
      <c r="Z54" s="37">
        <f>IF(AQ54="5",BJ54,0)</f>
        <v>0</v>
      </c>
      <c r="AB54" s="37">
        <f>IF(AQ54="1",BH54,0)</f>
        <v>0</v>
      </c>
      <c r="AC54" s="37">
        <f>IF(AQ54="1",BI54,0)</f>
        <v>0</v>
      </c>
      <c r="AD54" s="37">
        <f>IF(AQ54="7",BH54,0)</f>
        <v>0</v>
      </c>
      <c r="AE54" s="37">
        <f>IF(AQ54="7",BI54,0)</f>
        <v>0</v>
      </c>
      <c r="AF54" s="37">
        <f>IF(AQ54="2",BH54,0)</f>
        <v>0</v>
      </c>
      <c r="AG54" s="37">
        <f>IF(AQ54="2",BI54,0)</f>
        <v>0</v>
      </c>
      <c r="AH54" s="37">
        <f>IF(AQ54="0",BJ54,0)</f>
        <v>0</v>
      </c>
      <c r="AI54" s="35"/>
      <c r="AJ54" s="26">
        <f>IF(AN54=0,L54,0)</f>
        <v>0</v>
      </c>
      <c r="AK54" s="26">
        <f>IF(AN54=15,L54,0)</f>
        <v>0</v>
      </c>
      <c r="AL54" s="26">
        <f>IF(AN54=21,L54,0)</f>
        <v>0</v>
      </c>
      <c r="AN54" s="37">
        <v>21</v>
      </c>
      <c r="AO54" s="37">
        <f>I54*1</f>
        <v>0</v>
      </c>
      <c r="AP54" s="37">
        <f>I54*(1-1)</f>
        <v>0</v>
      </c>
      <c r="AQ54" s="39" t="s">
        <v>7</v>
      </c>
      <c r="AV54" s="37">
        <f>AW54+AX54</f>
        <v>0</v>
      </c>
      <c r="AW54" s="37">
        <f>H54*AO54</f>
        <v>0</v>
      </c>
      <c r="AX54" s="37">
        <f>H54*AP54</f>
        <v>0</v>
      </c>
      <c r="AY54" s="40" t="s">
        <v>1201</v>
      </c>
      <c r="AZ54" s="40" t="s">
        <v>1251</v>
      </c>
      <c r="BA54" s="35" t="s">
        <v>1262</v>
      </c>
      <c r="BC54" s="37">
        <f>AW54+AX54</f>
        <v>0</v>
      </c>
      <c r="BD54" s="37">
        <f>I54/(100-BE54)*100</f>
        <v>0</v>
      </c>
      <c r="BE54" s="37">
        <v>0</v>
      </c>
      <c r="BF54" s="37">
        <f>N54</f>
        <v>594</v>
      </c>
      <c r="BH54" s="26">
        <f>H54*AO54</f>
        <v>0</v>
      </c>
      <c r="BI54" s="26">
        <f>H54*AP54</f>
        <v>0</v>
      </c>
      <c r="BJ54" s="26">
        <f>H54*I54</f>
        <v>0</v>
      </c>
      <c r="BK54" s="26" t="s">
        <v>1268</v>
      </c>
      <c r="BL54" s="37">
        <v>33</v>
      </c>
    </row>
    <row r="55" spans="1:64" x14ac:dyDescent="0.25">
      <c r="A55" s="5"/>
      <c r="C55" s="18" t="s">
        <v>17</v>
      </c>
      <c r="F55" s="20" t="s">
        <v>1134</v>
      </c>
      <c r="H55" s="25">
        <v>11</v>
      </c>
      <c r="N55" s="36"/>
      <c r="O55" s="5"/>
    </row>
    <row r="56" spans="1:64" x14ac:dyDescent="0.25">
      <c r="A56" s="5"/>
      <c r="C56" s="18" t="s">
        <v>736</v>
      </c>
      <c r="F56" s="20" t="s">
        <v>1135</v>
      </c>
      <c r="H56" s="25">
        <v>0</v>
      </c>
      <c r="N56" s="36"/>
      <c r="O56" s="5"/>
    </row>
    <row r="57" spans="1:64" x14ac:dyDescent="0.25">
      <c r="A57" s="7" t="s">
        <v>30</v>
      </c>
      <c r="B57" s="16" t="s">
        <v>367</v>
      </c>
      <c r="C57" s="134" t="s">
        <v>737</v>
      </c>
      <c r="D57" s="135"/>
      <c r="E57" s="135"/>
      <c r="F57" s="135"/>
      <c r="G57" s="16" t="s">
        <v>1170</v>
      </c>
      <c r="H57" s="26">
        <v>8</v>
      </c>
      <c r="I57" s="26">
        <v>0</v>
      </c>
      <c r="J57" s="26">
        <f>H57*AO57</f>
        <v>0</v>
      </c>
      <c r="K57" s="26">
        <f>H57*AP57</f>
        <v>0</v>
      </c>
      <c r="L57" s="26">
        <f>H57*I57</f>
        <v>0</v>
      </c>
      <c r="M57" s="26">
        <v>0.01</v>
      </c>
      <c r="N57" s="48">
        <f>H57*57</f>
        <v>456</v>
      </c>
      <c r="O57" s="5"/>
      <c r="Z57" s="37">
        <f>IF(AQ57="5",BJ57,0)</f>
        <v>0</v>
      </c>
      <c r="AB57" s="37">
        <f>IF(AQ57="1",BH57,0)</f>
        <v>0</v>
      </c>
      <c r="AC57" s="37">
        <f>IF(AQ57="1",BI57,0)</f>
        <v>0</v>
      </c>
      <c r="AD57" s="37">
        <f>IF(AQ57="7",BH57,0)</f>
        <v>0</v>
      </c>
      <c r="AE57" s="37">
        <f>IF(AQ57="7",BI57,0)</f>
        <v>0</v>
      </c>
      <c r="AF57" s="37">
        <f>IF(AQ57="2",BH57,0)</f>
        <v>0</v>
      </c>
      <c r="AG57" s="37">
        <f>IF(AQ57="2",BI57,0)</f>
        <v>0</v>
      </c>
      <c r="AH57" s="37">
        <f>IF(AQ57="0",BJ57,0)</f>
        <v>0</v>
      </c>
      <c r="AI57" s="35"/>
      <c r="AJ57" s="26">
        <f>IF(AN57=0,L57,0)</f>
        <v>0</v>
      </c>
      <c r="AK57" s="26">
        <f>IF(AN57=15,L57,0)</f>
        <v>0</v>
      </c>
      <c r="AL57" s="26">
        <f>IF(AN57=21,L57,0)</f>
        <v>0</v>
      </c>
      <c r="AN57" s="37">
        <v>21</v>
      </c>
      <c r="AO57" s="37">
        <f>I57*1</f>
        <v>0</v>
      </c>
      <c r="AP57" s="37">
        <f>I57*(1-1)</f>
        <v>0</v>
      </c>
      <c r="AQ57" s="39" t="s">
        <v>7</v>
      </c>
      <c r="AV57" s="37">
        <f>AW57+AX57</f>
        <v>0</v>
      </c>
      <c r="AW57" s="37">
        <f>H57*AO57</f>
        <v>0</v>
      </c>
      <c r="AX57" s="37">
        <f>H57*AP57</f>
        <v>0</v>
      </c>
      <c r="AY57" s="40" t="s">
        <v>1201</v>
      </c>
      <c r="AZ57" s="40" t="s">
        <v>1251</v>
      </c>
      <c r="BA57" s="35" t="s">
        <v>1262</v>
      </c>
      <c r="BC57" s="37">
        <f>AW57+AX57</f>
        <v>0</v>
      </c>
      <c r="BD57" s="37">
        <f>I57/(100-BE57)*100</f>
        <v>0</v>
      </c>
      <c r="BE57" s="37">
        <v>0</v>
      </c>
      <c r="BF57" s="37">
        <f>N57</f>
        <v>456</v>
      </c>
      <c r="BH57" s="26">
        <f>H57*AO57</f>
        <v>0</v>
      </c>
      <c r="BI57" s="26">
        <f>H57*AP57</f>
        <v>0</v>
      </c>
      <c r="BJ57" s="26">
        <f>H57*I57</f>
        <v>0</v>
      </c>
      <c r="BK57" s="26" t="s">
        <v>1268</v>
      </c>
      <c r="BL57" s="37">
        <v>33</v>
      </c>
    </row>
    <row r="58" spans="1:64" x14ac:dyDescent="0.25">
      <c r="A58" s="5"/>
      <c r="C58" s="18" t="s">
        <v>14</v>
      </c>
      <c r="F58" s="20" t="s">
        <v>1136</v>
      </c>
      <c r="H58" s="25">
        <v>8</v>
      </c>
      <c r="N58" s="36"/>
      <c r="O58" s="5"/>
    </row>
    <row r="59" spans="1:64" x14ac:dyDescent="0.25">
      <c r="A59" s="7" t="s">
        <v>31</v>
      </c>
      <c r="B59" s="16" t="s">
        <v>368</v>
      </c>
      <c r="C59" s="134" t="s">
        <v>738</v>
      </c>
      <c r="D59" s="135"/>
      <c r="E59" s="135"/>
      <c r="F59" s="135"/>
      <c r="G59" s="16" t="s">
        <v>1170</v>
      </c>
      <c r="H59" s="26">
        <v>2</v>
      </c>
      <c r="I59" s="26">
        <v>0</v>
      </c>
      <c r="J59" s="26">
        <f>H59*AO59</f>
        <v>0</v>
      </c>
      <c r="K59" s="26">
        <f>H59*AP59</f>
        <v>0</v>
      </c>
      <c r="L59" s="26">
        <f>H59*I59</f>
        <v>0</v>
      </c>
      <c r="M59" s="26">
        <v>2.9999999999999997E-4</v>
      </c>
      <c r="N59" s="48">
        <f>H59*59</f>
        <v>118</v>
      </c>
      <c r="O59" s="5"/>
      <c r="Z59" s="37">
        <f>IF(AQ59="5",BJ59,0)</f>
        <v>0</v>
      </c>
      <c r="AB59" s="37">
        <f>IF(AQ59="1",BH59,0)</f>
        <v>0</v>
      </c>
      <c r="AC59" s="37">
        <f>IF(AQ59="1",BI59,0)</f>
        <v>0</v>
      </c>
      <c r="AD59" s="37">
        <f>IF(AQ59="7",BH59,0)</f>
        <v>0</v>
      </c>
      <c r="AE59" s="37">
        <f>IF(AQ59="7",BI59,0)</f>
        <v>0</v>
      </c>
      <c r="AF59" s="37">
        <f>IF(AQ59="2",BH59,0)</f>
        <v>0</v>
      </c>
      <c r="AG59" s="37">
        <f>IF(AQ59="2",BI59,0)</f>
        <v>0</v>
      </c>
      <c r="AH59" s="37">
        <f>IF(AQ59="0",BJ59,0)</f>
        <v>0</v>
      </c>
      <c r="AI59" s="35"/>
      <c r="AJ59" s="26">
        <f>IF(AN59=0,L59,0)</f>
        <v>0</v>
      </c>
      <c r="AK59" s="26">
        <f>IF(AN59=15,L59,0)</f>
        <v>0</v>
      </c>
      <c r="AL59" s="26">
        <f>IF(AN59=21,L59,0)</f>
        <v>0</v>
      </c>
      <c r="AN59" s="37">
        <v>21</v>
      </c>
      <c r="AO59" s="37">
        <f>I59*1</f>
        <v>0</v>
      </c>
      <c r="AP59" s="37">
        <f>I59*(1-1)</f>
        <v>0</v>
      </c>
      <c r="AQ59" s="39" t="s">
        <v>7</v>
      </c>
      <c r="AV59" s="37">
        <f>AW59+AX59</f>
        <v>0</v>
      </c>
      <c r="AW59" s="37">
        <f>H59*AO59</f>
        <v>0</v>
      </c>
      <c r="AX59" s="37">
        <f>H59*AP59</f>
        <v>0</v>
      </c>
      <c r="AY59" s="40" t="s">
        <v>1201</v>
      </c>
      <c r="AZ59" s="40" t="s">
        <v>1251</v>
      </c>
      <c r="BA59" s="35" t="s">
        <v>1262</v>
      </c>
      <c r="BC59" s="37">
        <f>AW59+AX59</f>
        <v>0</v>
      </c>
      <c r="BD59" s="37">
        <f>I59/(100-BE59)*100</f>
        <v>0</v>
      </c>
      <c r="BE59" s="37">
        <v>0</v>
      </c>
      <c r="BF59" s="37">
        <f>N59</f>
        <v>118</v>
      </c>
      <c r="BH59" s="26">
        <f>H59*AO59</f>
        <v>0</v>
      </c>
      <c r="BI59" s="26">
        <f>H59*AP59</f>
        <v>0</v>
      </c>
      <c r="BJ59" s="26">
        <f>H59*I59</f>
        <v>0</v>
      </c>
      <c r="BK59" s="26" t="s">
        <v>1268</v>
      </c>
      <c r="BL59" s="37">
        <v>33</v>
      </c>
    </row>
    <row r="60" spans="1:64" x14ac:dyDescent="0.25">
      <c r="A60" s="5"/>
      <c r="C60" s="18" t="s">
        <v>8</v>
      </c>
      <c r="F60" s="20" t="s">
        <v>1137</v>
      </c>
      <c r="H60" s="25">
        <v>2</v>
      </c>
      <c r="N60" s="36"/>
      <c r="O60" s="5"/>
    </row>
    <row r="61" spans="1:64" x14ac:dyDescent="0.25">
      <c r="A61" s="7" t="s">
        <v>32</v>
      </c>
      <c r="B61" s="16" t="s">
        <v>369</v>
      </c>
      <c r="C61" s="134" t="s">
        <v>739</v>
      </c>
      <c r="D61" s="135"/>
      <c r="E61" s="135"/>
      <c r="F61" s="135"/>
      <c r="G61" s="16" t="s">
        <v>1170</v>
      </c>
      <c r="H61" s="26">
        <v>6</v>
      </c>
      <c r="I61" s="26">
        <v>0</v>
      </c>
      <c r="J61" s="26">
        <f>H61*AO61</f>
        <v>0</v>
      </c>
      <c r="K61" s="26">
        <f>H61*AP61</f>
        <v>0</v>
      </c>
      <c r="L61" s="26">
        <f>H61*I61</f>
        <v>0</v>
      </c>
      <c r="M61" s="26">
        <v>2.0000000000000001E-4</v>
      </c>
      <c r="N61" s="48">
        <f>H61*61</f>
        <v>366</v>
      </c>
      <c r="O61" s="5"/>
      <c r="Z61" s="37">
        <f>IF(AQ61="5",BJ61,0)</f>
        <v>0</v>
      </c>
      <c r="AB61" s="37">
        <f>IF(AQ61="1",BH61,0)</f>
        <v>0</v>
      </c>
      <c r="AC61" s="37">
        <f>IF(AQ61="1",BI61,0)</f>
        <v>0</v>
      </c>
      <c r="AD61" s="37">
        <f>IF(AQ61="7",BH61,0)</f>
        <v>0</v>
      </c>
      <c r="AE61" s="37">
        <f>IF(AQ61="7",BI61,0)</f>
        <v>0</v>
      </c>
      <c r="AF61" s="37">
        <f>IF(AQ61="2",BH61,0)</f>
        <v>0</v>
      </c>
      <c r="AG61" s="37">
        <f>IF(AQ61="2",BI61,0)</f>
        <v>0</v>
      </c>
      <c r="AH61" s="37">
        <f>IF(AQ61="0",BJ61,0)</f>
        <v>0</v>
      </c>
      <c r="AI61" s="35"/>
      <c r="AJ61" s="26">
        <f>IF(AN61=0,L61,0)</f>
        <v>0</v>
      </c>
      <c r="AK61" s="26">
        <f>IF(AN61=15,L61,0)</f>
        <v>0</v>
      </c>
      <c r="AL61" s="26">
        <f>IF(AN61=21,L61,0)</f>
        <v>0</v>
      </c>
      <c r="AN61" s="37">
        <v>21</v>
      </c>
      <c r="AO61" s="37">
        <f>I61*1</f>
        <v>0</v>
      </c>
      <c r="AP61" s="37">
        <f>I61*(1-1)</f>
        <v>0</v>
      </c>
      <c r="AQ61" s="39" t="s">
        <v>7</v>
      </c>
      <c r="AV61" s="37">
        <f>AW61+AX61</f>
        <v>0</v>
      </c>
      <c r="AW61" s="37">
        <f>H61*AO61</f>
        <v>0</v>
      </c>
      <c r="AX61" s="37">
        <f>H61*AP61</f>
        <v>0</v>
      </c>
      <c r="AY61" s="40" t="s">
        <v>1201</v>
      </c>
      <c r="AZ61" s="40" t="s">
        <v>1251</v>
      </c>
      <c r="BA61" s="35" t="s">
        <v>1262</v>
      </c>
      <c r="BC61" s="37">
        <f>AW61+AX61</f>
        <v>0</v>
      </c>
      <c r="BD61" s="37">
        <f>I61/(100-BE61)*100</f>
        <v>0</v>
      </c>
      <c r="BE61" s="37">
        <v>0</v>
      </c>
      <c r="BF61" s="37">
        <f>N61</f>
        <v>366</v>
      </c>
      <c r="BH61" s="26">
        <f>H61*AO61</f>
        <v>0</v>
      </c>
      <c r="BI61" s="26">
        <f>H61*AP61</f>
        <v>0</v>
      </c>
      <c r="BJ61" s="26">
        <f>H61*I61</f>
        <v>0</v>
      </c>
      <c r="BK61" s="26" t="s">
        <v>1268</v>
      </c>
      <c r="BL61" s="37">
        <v>33</v>
      </c>
    </row>
    <row r="62" spans="1:64" x14ac:dyDescent="0.25">
      <c r="A62" s="5"/>
      <c r="C62" s="18" t="s">
        <v>12</v>
      </c>
      <c r="F62" s="20" t="s">
        <v>1138</v>
      </c>
      <c r="H62" s="25">
        <v>6</v>
      </c>
      <c r="N62" s="36"/>
      <c r="O62" s="5"/>
    </row>
    <row r="63" spans="1:64" x14ac:dyDescent="0.25">
      <c r="A63" s="6"/>
      <c r="B63" s="15" t="s">
        <v>49</v>
      </c>
      <c r="C63" s="132" t="s">
        <v>740</v>
      </c>
      <c r="D63" s="133"/>
      <c r="E63" s="133"/>
      <c r="F63" s="133"/>
      <c r="G63" s="22" t="s">
        <v>6</v>
      </c>
      <c r="H63" s="22" t="s">
        <v>6</v>
      </c>
      <c r="I63" s="22" t="s">
        <v>6</v>
      </c>
      <c r="J63" s="43">
        <f>SUM(J64:J64)</f>
        <v>0</v>
      </c>
      <c r="K63" s="43">
        <f>SUM(K64:K64)</f>
        <v>0</v>
      </c>
      <c r="L63" s="43">
        <f>SUM(L64:L64)</f>
        <v>0</v>
      </c>
      <c r="M63" s="35"/>
      <c r="N63" s="47">
        <f>SUM(N64:N64)</f>
        <v>22.4</v>
      </c>
      <c r="O63" s="5"/>
      <c r="AI63" s="35"/>
      <c r="AS63" s="43">
        <f>SUM(AJ64:AJ64)</f>
        <v>0</v>
      </c>
      <c r="AT63" s="43">
        <f>SUM(AK64:AK64)</f>
        <v>0</v>
      </c>
      <c r="AU63" s="43">
        <f>SUM(AL64:AL64)</f>
        <v>0</v>
      </c>
    </row>
    <row r="64" spans="1:64" x14ac:dyDescent="0.25">
      <c r="A64" s="4" t="s">
        <v>33</v>
      </c>
      <c r="B64" s="14" t="s">
        <v>370</v>
      </c>
      <c r="C64" s="130" t="s">
        <v>741</v>
      </c>
      <c r="D64" s="131"/>
      <c r="E64" s="131"/>
      <c r="F64" s="131"/>
      <c r="G64" s="14" t="s">
        <v>1167</v>
      </c>
      <c r="H64" s="24">
        <v>0.35</v>
      </c>
      <c r="I64" s="24">
        <v>0</v>
      </c>
      <c r="J64" s="24">
        <f>H64*AO64</f>
        <v>0</v>
      </c>
      <c r="K64" s="24">
        <f>H64*AP64</f>
        <v>0</v>
      </c>
      <c r="L64" s="24">
        <f>H64*I64</f>
        <v>0</v>
      </c>
      <c r="M64" s="24">
        <v>2.52508</v>
      </c>
      <c r="N64" s="46">
        <f>H64*64</f>
        <v>22.4</v>
      </c>
      <c r="O64" s="5"/>
      <c r="Z64" s="37">
        <f>IF(AQ64="5",BJ64,0)</f>
        <v>0</v>
      </c>
      <c r="AB64" s="37">
        <f>IF(AQ64="1",BH64,0)</f>
        <v>0</v>
      </c>
      <c r="AC64" s="37">
        <f>IF(AQ64="1",BI64,0)</f>
        <v>0</v>
      </c>
      <c r="AD64" s="37">
        <f>IF(AQ64="7",BH64,0)</f>
        <v>0</v>
      </c>
      <c r="AE64" s="37">
        <f>IF(AQ64="7",BI64,0)</f>
        <v>0</v>
      </c>
      <c r="AF64" s="37">
        <f>IF(AQ64="2",BH64,0)</f>
        <v>0</v>
      </c>
      <c r="AG64" s="37">
        <f>IF(AQ64="2",BI64,0)</f>
        <v>0</v>
      </c>
      <c r="AH64" s="37">
        <f>IF(AQ64="0",BJ64,0)</f>
        <v>0</v>
      </c>
      <c r="AI64" s="35"/>
      <c r="AJ64" s="24">
        <f>IF(AN64=0,L64,0)</f>
        <v>0</v>
      </c>
      <c r="AK64" s="24">
        <f>IF(AN64=15,L64,0)</f>
        <v>0</v>
      </c>
      <c r="AL64" s="24">
        <f>IF(AN64=21,L64,0)</f>
        <v>0</v>
      </c>
      <c r="AN64" s="37">
        <v>21</v>
      </c>
      <c r="AO64" s="37">
        <f>I64*0.592654230512991</f>
        <v>0</v>
      </c>
      <c r="AP64" s="37">
        <f>I64*(1-0.592654230512991)</f>
        <v>0</v>
      </c>
      <c r="AQ64" s="38" t="s">
        <v>7</v>
      </c>
      <c r="AV64" s="37">
        <f>AW64+AX64</f>
        <v>0</v>
      </c>
      <c r="AW64" s="37">
        <f>H64*AO64</f>
        <v>0</v>
      </c>
      <c r="AX64" s="37">
        <f>H64*AP64</f>
        <v>0</v>
      </c>
      <c r="AY64" s="40" t="s">
        <v>1202</v>
      </c>
      <c r="AZ64" s="40" t="s">
        <v>1252</v>
      </c>
      <c r="BA64" s="35" t="s">
        <v>1262</v>
      </c>
      <c r="BC64" s="37">
        <f>AW64+AX64</f>
        <v>0</v>
      </c>
      <c r="BD64" s="37">
        <f>I64/(100-BE64)*100</f>
        <v>0</v>
      </c>
      <c r="BE64" s="37">
        <v>0</v>
      </c>
      <c r="BF64" s="37">
        <f>N64</f>
        <v>22.4</v>
      </c>
      <c r="BH64" s="24">
        <f>H64*AO64</f>
        <v>0</v>
      </c>
      <c r="BI64" s="24">
        <f>H64*AP64</f>
        <v>0</v>
      </c>
      <c r="BJ64" s="24">
        <f>H64*I64</f>
        <v>0</v>
      </c>
      <c r="BK64" s="24" t="s">
        <v>1267</v>
      </c>
      <c r="BL64" s="37">
        <v>43</v>
      </c>
    </row>
    <row r="65" spans="1:64" x14ac:dyDescent="0.25">
      <c r="A65" s="6"/>
      <c r="B65" s="15" t="s">
        <v>52</v>
      </c>
      <c r="C65" s="132" t="s">
        <v>742</v>
      </c>
      <c r="D65" s="133"/>
      <c r="E65" s="133"/>
      <c r="F65" s="133"/>
      <c r="G65" s="22" t="s">
        <v>6</v>
      </c>
      <c r="H65" s="22" t="s">
        <v>6</v>
      </c>
      <c r="I65" s="22" t="s">
        <v>6</v>
      </c>
      <c r="J65" s="43">
        <f>SUM(J66:J76)</f>
        <v>0</v>
      </c>
      <c r="K65" s="43">
        <f>SUM(K66:K76)</f>
        <v>0</v>
      </c>
      <c r="L65" s="43">
        <f>SUM(L66:L76)</f>
        <v>0</v>
      </c>
      <c r="M65" s="35"/>
      <c r="N65" s="47">
        <f>SUM(N66:N76)</f>
        <v>10567.8</v>
      </c>
      <c r="O65" s="5"/>
      <c r="AI65" s="35"/>
      <c r="AS65" s="43">
        <f>SUM(AJ66:AJ76)</f>
        <v>0</v>
      </c>
      <c r="AT65" s="43">
        <f>SUM(AK66:AK76)</f>
        <v>0</v>
      </c>
      <c r="AU65" s="43">
        <f>SUM(AL66:AL76)</f>
        <v>0</v>
      </c>
    </row>
    <row r="66" spans="1:64" x14ac:dyDescent="0.25">
      <c r="A66" s="4" t="s">
        <v>34</v>
      </c>
      <c r="B66" s="14" t="s">
        <v>371</v>
      </c>
      <c r="C66" s="130" t="s">
        <v>743</v>
      </c>
      <c r="D66" s="131"/>
      <c r="E66" s="131"/>
      <c r="F66" s="131"/>
      <c r="G66" s="14" t="s">
        <v>1169</v>
      </c>
      <c r="H66" s="24">
        <v>6.72</v>
      </c>
      <c r="I66" s="24">
        <v>0</v>
      </c>
      <c r="J66" s="24">
        <f>H66*AO66</f>
        <v>0</v>
      </c>
      <c r="K66" s="24">
        <f>H66*AP66</f>
        <v>0</v>
      </c>
      <c r="L66" s="24">
        <f>H66*I66</f>
        <v>0</v>
      </c>
      <c r="M66" s="24">
        <v>0</v>
      </c>
      <c r="N66" s="46">
        <f>H66*66</f>
        <v>443.52</v>
      </c>
      <c r="O66" s="5"/>
      <c r="Z66" s="37">
        <f>IF(AQ66="5",BJ66,0)</f>
        <v>0</v>
      </c>
      <c r="AB66" s="37">
        <f>IF(AQ66="1",BH66,0)</f>
        <v>0</v>
      </c>
      <c r="AC66" s="37">
        <f>IF(AQ66="1",BI66,0)</f>
        <v>0</v>
      </c>
      <c r="AD66" s="37">
        <f>IF(AQ66="7",BH66,0)</f>
        <v>0</v>
      </c>
      <c r="AE66" s="37">
        <f>IF(AQ66="7",BI66,0)</f>
        <v>0</v>
      </c>
      <c r="AF66" s="37">
        <f>IF(AQ66="2",BH66,0)</f>
        <v>0</v>
      </c>
      <c r="AG66" s="37">
        <f>IF(AQ66="2",BI66,0)</f>
        <v>0</v>
      </c>
      <c r="AH66" s="37">
        <f>IF(AQ66="0",BJ66,0)</f>
        <v>0</v>
      </c>
      <c r="AI66" s="35"/>
      <c r="AJ66" s="24">
        <f>IF(AN66=0,L66,0)</f>
        <v>0</v>
      </c>
      <c r="AK66" s="24">
        <f>IF(AN66=15,L66,0)</f>
        <v>0</v>
      </c>
      <c r="AL66" s="24">
        <f>IF(AN66=21,L66,0)</f>
        <v>0</v>
      </c>
      <c r="AN66" s="37">
        <v>21</v>
      </c>
      <c r="AO66" s="37">
        <f>I66*0</f>
        <v>0</v>
      </c>
      <c r="AP66" s="37">
        <f>I66*(1-0)</f>
        <v>0</v>
      </c>
      <c r="AQ66" s="38" t="s">
        <v>7</v>
      </c>
      <c r="AV66" s="37">
        <f>AW66+AX66</f>
        <v>0</v>
      </c>
      <c r="AW66" s="37">
        <f>H66*AO66</f>
        <v>0</v>
      </c>
      <c r="AX66" s="37">
        <f>H66*AP66</f>
        <v>0</v>
      </c>
      <c r="AY66" s="40" t="s">
        <v>1203</v>
      </c>
      <c r="AZ66" s="40" t="s">
        <v>1252</v>
      </c>
      <c r="BA66" s="35" t="s">
        <v>1262</v>
      </c>
      <c r="BC66" s="37">
        <f>AW66+AX66</f>
        <v>0</v>
      </c>
      <c r="BD66" s="37">
        <f>I66/(100-BE66)*100</f>
        <v>0</v>
      </c>
      <c r="BE66" s="37">
        <v>0</v>
      </c>
      <c r="BF66" s="37">
        <f>N66</f>
        <v>443.52</v>
      </c>
      <c r="BH66" s="24">
        <f>H66*AO66</f>
        <v>0</v>
      </c>
      <c r="BI66" s="24">
        <f>H66*AP66</f>
        <v>0</v>
      </c>
      <c r="BJ66" s="24">
        <f>H66*I66</f>
        <v>0</v>
      </c>
      <c r="BK66" s="24" t="s">
        <v>1267</v>
      </c>
      <c r="BL66" s="37">
        <v>46</v>
      </c>
    </row>
    <row r="67" spans="1:64" x14ac:dyDescent="0.25">
      <c r="A67" s="5"/>
      <c r="C67" s="18" t="s">
        <v>744</v>
      </c>
      <c r="F67" s="20"/>
      <c r="H67" s="25">
        <v>6.72</v>
      </c>
      <c r="N67" s="36"/>
      <c r="O67" s="5"/>
    </row>
    <row r="68" spans="1:64" x14ac:dyDescent="0.25">
      <c r="A68" s="4" t="s">
        <v>35</v>
      </c>
      <c r="B68" s="14" t="s">
        <v>372</v>
      </c>
      <c r="C68" s="130" t="s">
        <v>745</v>
      </c>
      <c r="D68" s="131"/>
      <c r="E68" s="131"/>
      <c r="F68" s="131"/>
      <c r="G68" s="14" t="s">
        <v>1169</v>
      </c>
      <c r="H68" s="24">
        <v>0.78</v>
      </c>
      <c r="I68" s="24">
        <v>0</v>
      </c>
      <c r="J68" s="24">
        <f>H68*AO68</f>
        <v>0</v>
      </c>
      <c r="K68" s="24">
        <f>H68*AP68</f>
        <v>0</v>
      </c>
      <c r="L68" s="24">
        <f>H68*I68</f>
        <v>0</v>
      </c>
      <c r="M68" s="24">
        <v>0.24154999999999999</v>
      </c>
      <c r="N68" s="46">
        <f>H68*68</f>
        <v>53.04</v>
      </c>
      <c r="O68" s="5"/>
      <c r="Z68" s="37">
        <f>IF(AQ68="5",BJ68,0)</f>
        <v>0</v>
      </c>
      <c r="AB68" s="37">
        <f>IF(AQ68="1",BH68,0)</f>
        <v>0</v>
      </c>
      <c r="AC68" s="37">
        <f>IF(AQ68="1",BI68,0)</f>
        <v>0</v>
      </c>
      <c r="AD68" s="37">
        <f>IF(AQ68="7",BH68,0)</f>
        <v>0</v>
      </c>
      <c r="AE68" s="37">
        <f>IF(AQ68="7",BI68,0)</f>
        <v>0</v>
      </c>
      <c r="AF68" s="37">
        <f>IF(AQ68="2",BH68,0)</f>
        <v>0</v>
      </c>
      <c r="AG68" s="37">
        <f>IF(AQ68="2",BI68,0)</f>
        <v>0</v>
      </c>
      <c r="AH68" s="37">
        <f>IF(AQ68="0",BJ68,0)</f>
        <v>0</v>
      </c>
      <c r="AI68" s="35"/>
      <c r="AJ68" s="24">
        <f>IF(AN68=0,L68,0)</f>
        <v>0</v>
      </c>
      <c r="AK68" s="24">
        <f>IF(AN68=15,L68,0)</f>
        <v>0</v>
      </c>
      <c r="AL68" s="24">
        <f>IF(AN68=21,L68,0)</f>
        <v>0</v>
      </c>
      <c r="AN68" s="37">
        <v>21</v>
      </c>
      <c r="AO68" s="37">
        <f>I68*0.530761589403974</f>
        <v>0</v>
      </c>
      <c r="AP68" s="37">
        <f>I68*(1-0.530761589403974)</f>
        <v>0</v>
      </c>
      <c r="AQ68" s="38" t="s">
        <v>7</v>
      </c>
      <c r="AV68" s="37">
        <f>AW68+AX68</f>
        <v>0</v>
      </c>
      <c r="AW68" s="37">
        <f>H68*AO68</f>
        <v>0</v>
      </c>
      <c r="AX68" s="37">
        <f>H68*AP68</f>
        <v>0</v>
      </c>
      <c r="AY68" s="40" t="s">
        <v>1203</v>
      </c>
      <c r="AZ68" s="40" t="s">
        <v>1252</v>
      </c>
      <c r="BA68" s="35" t="s">
        <v>1262</v>
      </c>
      <c r="BC68" s="37">
        <f>AW68+AX68</f>
        <v>0</v>
      </c>
      <c r="BD68" s="37">
        <f>I68/(100-BE68)*100</f>
        <v>0</v>
      </c>
      <c r="BE68" s="37">
        <v>0</v>
      </c>
      <c r="BF68" s="37">
        <f>N68</f>
        <v>53.04</v>
      </c>
      <c r="BH68" s="24">
        <f>H68*AO68</f>
        <v>0</v>
      </c>
      <c r="BI68" s="24">
        <f>H68*AP68</f>
        <v>0</v>
      </c>
      <c r="BJ68" s="24">
        <f>H68*I68</f>
        <v>0</v>
      </c>
      <c r="BK68" s="24" t="s">
        <v>1267</v>
      </c>
      <c r="BL68" s="37">
        <v>46</v>
      </c>
    </row>
    <row r="69" spans="1:64" x14ac:dyDescent="0.25">
      <c r="A69" s="5"/>
      <c r="C69" s="18" t="s">
        <v>746</v>
      </c>
      <c r="F69" s="20"/>
      <c r="H69" s="25">
        <v>0.78</v>
      </c>
      <c r="N69" s="36"/>
      <c r="O69" s="5"/>
    </row>
    <row r="70" spans="1:64" x14ac:dyDescent="0.25">
      <c r="A70" s="4" t="s">
        <v>36</v>
      </c>
      <c r="B70" s="14" t="s">
        <v>373</v>
      </c>
      <c r="C70" s="130" t="s">
        <v>747</v>
      </c>
      <c r="D70" s="131"/>
      <c r="E70" s="131"/>
      <c r="F70" s="131"/>
      <c r="G70" s="14" t="s">
        <v>1169</v>
      </c>
      <c r="H70" s="24">
        <v>9.9</v>
      </c>
      <c r="I70" s="24">
        <v>0</v>
      </c>
      <c r="J70" s="24">
        <f>H70*AO70</f>
        <v>0</v>
      </c>
      <c r="K70" s="24">
        <f>H70*AP70</f>
        <v>0</v>
      </c>
      <c r="L70" s="24">
        <f>H70*I70</f>
        <v>0</v>
      </c>
      <c r="M70" s="24">
        <v>0.3382</v>
      </c>
      <c r="N70" s="46">
        <f>H70*70</f>
        <v>693</v>
      </c>
      <c r="O70" s="5"/>
      <c r="Z70" s="37">
        <f>IF(AQ70="5",BJ70,0)</f>
        <v>0</v>
      </c>
      <c r="AB70" s="37">
        <f>IF(AQ70="1",BH70,0)</f>
        <v>0</v>
      </c>
      <c r="AC70" s="37">
        <f>IF(AQ70="1",BI70,0)</f>
        <v>0</v>
      </c>
      <c r="AD70" s="37">
        <f>IF(AQ70="7",BH70,0)</f>
        <v>0</v>
      </c>
      <c r="AE70" s="37">
        <f>IF(AQ70="7",BI70,0)</f>
        <v>0</v>
      </c>
      <c r="AF70" s="37">
        <f>IF(AQ70="2",BH70,0)</f>
        <v>0</v>
      </c>
      <c r="AG70" s="37">
        <f>IF(AQ70="2",BI70,0)</f>
        <v>0</v>
      </c>
      <c r="AH70" s="37">
        <f>IF(AQ70="0",BJ70,0)</f>
        <v>0</v>
      </c>
      <c r="AI70" s="35"/>
      <c r="AJ70" s="24">
        <f>IF(AN70=0,L70,0)</f>
        <v>0</v>
      </c>
      <c r="AK70" s="24">
        <f>IF(AN70=15,L70,0)</f>
        <v>0</v>
      </c>
      <c r="AL70" s="24">
        <f>IF(AN70=21,L70,0)</f>
        <v>0</v>
      </c>
      <c r="AN70" s="37">
        <v>21</v>
      </c>
      <c r="AO70" s="37">
        <f>I70*0</f>
        <v>0</v>
      </c>
      <c r="AP70" s="37">
        <f>I70*(1-0)</f>
        <v>0</v>
      </c>
      <c r="AQ70" s="38" t="s">
        <v>7</v>
      </c>
      <c r="AV70" s="37">
        <f>AW70+AX70</f>
        <v>0</v>
      </c>
      <c r="AW70" s="37">
        <f>H70*AO70</f>
        <v>0</v>
      </c>
      <c r="AX70" s="37">
        <f>H70*AP70</f>
        <v>0</v>
      </c>
      <c r="AY70" s="40" t="s">
        <v>1203</v>
      </c>
      <c r="AZ70" s="40" t="s">
        <v>1252</v>
      </c>
      <c r="BA70" s="35" t="s">
        <v>1262</v>
      </c>
      <c r="BC70" s="37">
        <f>AW70+AX70</f>
        <v>0</v>
      </c>
      <c r="BD70" s="37">
        <f>I70/(100-BE70)*100</f>
        <v>0</v>
      </c>
      <c r="BE70" s="37">
        <v>0</v>
      </c>
      <c r="BF70" s="37">
        <f>N70</f>
        <v>693</v>
      </c>
      <c r="BH70" s="24">
        <f>H70*AO70</f>
        <v>0</v>
      </c>
      <c r="BI70" s="24">
        <f>H70*AP70</f>
        <v>0</v>
      </c>
      <c r="BJ70" s="24">
        <f>H70*I70</f>
        <v>0</v>
      </c>
      <c r="BK70" s="24" t="s">
        <v>1267</v>
      </c>
      <c r="BL70" s="37">
        <v>46</v>
      </c>
    </row>
    <row r="71" spans="1:64" x14ac:dyDescent="0.25">
      <c r="A71" s="5"/>
      <c r="C71" s="18" t="s">
        <v>748</v>
      </c>
      <c r="F71" s="20"/>
      <c r="H71" s="25">
        <v>9.9</v>
      </c>
      <c r="N71" s="36"/>
      <c r="O71" s="5"/>
    </row>
    <row r="72" spans="1:64" x14ac:dyDescent="0.25">
      <c r="A72" s="4" t="s">
        <v>37</v>
      </c>
      <c r="B72" s="14" t="s">
        <v>374</v>
      </c>
      <c r="C72" s="130" t="s">
        <v>749</v>
      </c>
      <c r="D72" s="131"/>
      <c r="E72" s="131"/>
      <c r="F72" s="131"/>
      <c r="G72" s="14" t="s">
        <v>1167</v>
      </c>
      <c r="H72" s="24">
        <v>0.33</v>
      </c>
      <c r="I72" s="24">
        <v>0</v>
      </c>
      <c r="J72" s="24">
        <f>H72*AO72</f>
        <v>0</v>
      </c>
      <c r="K72" s="24">
        <f>H72*AP72</f>
        <v>0</v>
      </c>
      <c r="L72" s="24">
        <f>H72*I72</f>
        <v>0</v>
      </c>
      <c r="M72" s="24">
        <v>2.5249999999999999</v>
      </c>
      <c r="N72" s="46">
        <f>H72*72</f>
        <v>23.76</v>
      </c>
      <c r="O72" s="5"/>
      <c r="Z72" s="37">
        <f>IF(AQ72="5",BJ72,0)</f>
        <v>0</v>
      </c>
      <c r="AB72" s="37">
        <f>IF(AQ72="1",BH72,0)</f>
        <v>0</v>
      </c>
      <c r="AC72" s="37">
        <f>IF(AQ72="1",BI72,0)</f>
        <v>0</v>
      </c>
      <c r="AD72" s="37">
        <f>IF(AQ72="7",BH72,0)</f>
        <v>0</v>
      </c>
      <c r="AE72" s="37">
        <f>IF(AQ72="7",BI72,0)</f>
        <v>0</v>
      </c>
      <c r="AF72" s="37">
        <f>IF(AQ72="2",BH72,0)</f>
        <v>0</v>
      </c>
      <c r="AG72" s="37">
        <f>IF(AQ72="2",BI72,0)</f>
        <v>0</v>
      </c>
      <c r="AH72" s="37">
        <f>IF(AQ72="0",BJ72,0)</f>
        <v>0</v>
      </c>
      <c r="AI72" s="35"/>
      <c r="AJ72" s="24">
        <f>IF(AN72=0,L72,0)</f>
        <v>0</v>
      </c>
      <c r="AK72" s="24">
        <f>IF(AN72=15,L72,0)</f>
        <v>0</v>
      </c>
      <c r="AL72" s="24">
        <f>IF(AN72=21,L72,0)</f>
        <v>0</v>
      </c>
      <c r="AN72" s="37">
        <v>21</v>
      </c>
      <c r="AO72" s="37">
        <f>I72*0.754530437804031</f>
        <v>0</v>
      </c>
      <c r="AP72" s="37">
        <f>I72*(1-0.754530437804031)</f>
        <v>0</v>
      </c>
      <c r="AQ72" s="38" t="s">
        <v>7</v>
      </c>
      <c r="AV72" s="37">
        <f>AW72+AX72</f>
        <v>0</v>
      </c>
      <c r="AW72" s="37">
        <f>H72*AO72</f>
        <v>0</v>
      </c>
      <c r="AX72" s="37">
        <f>H72*AP72</f>
        <v>0</v>
      </c>
      <c r="AY72" s="40" t="s">
        <v>1203</v>
      </c>
      <c r="AZ72" s="40" t="s">
        <v>1252</v>
      </c>
      <c r="BA72" s="35" t="s">
        <v>1262</v>
      </c>
      <c r="BC72" s="37">
        <f>AW72+AX72</f>
        <v>0</v>
      </c>
      <c r="BD72" s="37">
        <f>I72/(100-BE72)*100</f>
        <v>0</v>
      </c>
      <c r="BE72" s="37">
        <v>0</v>
      </c>
      <c r="BF72" s="37">
        <f>N72</f>
        <v>23.76</v>
      </c>
      <c r="BH72" s="24">
        <f>H72*AO72</f>
        <v>0</v>
      </c>
      <c r="BI72" s="24">
        <f>H72*AP72</f>
        <v>0</v>
      </c>
      <c r="BJ72" s="24">
        <f>H72*I72</f>
        <v>0</v>
      </c>
      <c r="BK72" s="24" t="s">
        <v>1267</v>
      </c>
      <c r="BL72" s="37">
        <v>46</v>
      </c>
    </row>
    <row r="73" spans="1:64" x14ac:dyDescent="0.25">
      <c r="A73" s="5"/>
      <c r="C73" s="18" t="s">
        <v>750</v>
      </c>
      <c r="F73" s="20"/>
      <c r="H73" s="25">
        <v>0.33</v>
      </c>
      <c r="N73" s="36"/>
      <c r="O73" s="5"/>
    </row>
    <row r="74" spans="1:64" x14ac:dyDescent="0.25">
      <c r="A74" s="4" t="s">
        <v>38</v>
      </c>
      <c r="B74" s="14" t="s">
        <v>375</v>
      </c>
      <c r="C74" s="130" t="s">
        <v>751</v>
      </c>
      <c r="D74" s="131"/>
      <c r="E74" s="131"/>
      <c r="F74" s="131"/>
      <c r="G74" s="14" t="s">
        <v>1169</v>
      </c>
      <c r="H74" s="24">
        <v>61.74</v>
      </c>
      <c r="I74" s="24">
        <v>0</v>
      </c>
      <c r="J74" s="24">
        <f>H74*AO74</f>
        <v>0</v>
      </c>
      <c r="K74" s="24">
        <f>H74*AP74</f>
        <v>0</v>
      </c>
      <c r="L74" s="24">
        <f>H74*I74</f>
        <v>0</v>
      </c>
      <c r="M74" s="24">
        <v>0</v>
      </c>
      <c r="N74" s="46">
        <f>H74*74</f>
        <v>4568.76</v>
      </c>
      <c r="O74" s="5"/>
      <c r="Z74" s="37">
        <f>IF(AQ74="5",BJ74,0)</f>
        <v>0</v>
      </c>
      <c r="AB74" s="37">
        <f>IF(AQ74="1",BH74,0)</f>
        <v>0</v>
      </c>
      <c r="AC74" s="37">
        <f>IF(AQ74="1",BI74,0)</f>
        <v>0</v>
      </c>
      <c r="AD74" s="37">
        <f>IF(AQ74="7",BH74,0)</f>
        <v>0</v>
      </c>
      <c r="AE74" s="37">
        <f>IF(AQ74="7",BI74,0)</f>
        <v>0</v>
      </c>
      <c r="AF74" s="37">
        <f>IF(AQ74="2",BH74,0)</f>
        <v>0</v>
      </c>
      <c r="AG74" s="37">
        <f>IF(AQ74="2",BI74,0)</f>
        <v>0</v>
      </c>
      <c r="AH74" s="37">
        <f>IF(AQ74="0",BJ74,0)</f>
        <v>0</v>
      </c>
      <c r="AI74" s="35"/>
      <c r="AJ74" s="24">
        <f>IF(AN74=0,L74,0)</f>
        <v>0</v>
      </c>
      <c r="AK74" s="24">
        <f>IF(AN74=15,L74,0)</f>
        <v>0</v>
      </c>
      <c r="AL74" s="24">
        <f>IF(AN74=21,L74,0)</f>
        <v>0</v>
      </c>
      <c r="AN74" s="37">
        <v>21</v>
      </c>
      <c r="AO74" s="37">
        <f>I74*0</f>
        <v>0</v>
      </c>
      <c r="AP74" s="37">
        <f>I74*(1-0)</f>
        <v>0</v>
      </c>
      <c r="AQ74" s="38" t="s">
        <v>7</v>
      </c>
      <c r="AV74" s="37">
        <f>AW74+AX74</f>
        <v>0</v>
      </c>
      <c r="AW74" s="37">
        <f>H74*AO74</f>
        <v>0</v>
      </c>
      <c r="AX74" s="37">
        <f>H74*AP74</f>
        <v>0</v>
      </c>
      <c r="AY74" s="40" t="s">
        <v>1203</v>
      </c>
      <c r="AZ74" s="40" t="s">
        <v>1252</v>
      </c>
      <c r="BA74" s="35" t="s">
        <v>1262</v>
      </c>
      <c r="BC74" s="37">
        <f>AW74+AX74</f>
        <v>0</v>
      </c>
      <c r="BD74" s="37">
        <f>I74/(100-BE74)*100</f>
        <v>0</v>
      </c>
      <c r="BE74" s="37">
        <v>0</v>
      </c>
      <c r="BF74" s="37">
        <f>N74</f>
        <v>4568.76</v>
      </c>
      <c r="BH74" s="24">
        <f>H74*AO74</f>
        <v>0</v>
      </c>
      <c r="BI74" s="24">
        <f>H74*AP74</f>
        <v>0</v>
      </c>
      <c r="BJ74" s="24">
        <f>H74*I74</f>
        <v>0</v>
      </c>
      <c r="BK74" s="24" t="s">
        <v>1267</v>
      </c>
      <c r="BL74" s="37">
        <v>46</v>
      </c>
    </row>
    <row r="75" spans="1:64" x14ac:dyDescent="0.25">
      <c r="A75" s="5"/>
      <c r="C75" s="18" t="s">
        <v>752</v>
      </c>
      <c r="F75" s="20"/>
      <c r="H75" s="25">
        <v>61.74</v>
      </c>
      <c r="N75" s="36"/>
      <c r="O75" s="5"/>
    </row>
    <row r="76" spans="1:64" x14ac:dyDescent="0.25">
      <c r="A76" s="7" t="s">
        <v>39</v>
      </c>
      <c r="B76" s="16" t="s">
        <v>376</v>
      </c>
      <c r="C76" s="134" t="s">
        <v>753</v>
      </c>
      <c r="D76" s="135"/>
      <c r="E76" s="135"/>
      <c r="F76" s="135"/>
      <c r="G76" s="16" t="s">
        <v>1169</v>
      </c>
      <c r="H76" s="26">
        <v>62.97</v>
      </c>
      <c r="I76" s="26">
        <v>0</v>
      </c>
      <c r="J76" s="26">
        <f>H76*AO76</f>
        <v>0</v>
      </c>
      <c r="K76" s="26">
        <f>H76*AP76</f>
        <v>0</v>
      </c>
      <c r="L76" s="26">
        <f>H76*I76</f>
        <v>0</v>
      </c>
      <c r="M76" s="26">
        <v>0.188</v>
      </c>
      <c r="N76" s="48">
        <f>H76*76</f>
        <v>4785.72</v>
      </c>
      <c r="O76" s="5"/>
      <c r="Z76" s="37">
        <f>IF(AQ76="5",BJ76,0)</f>
        <v>0</v>
      </c>
      <c r="AB76" s="37">
        <f>IF(AQ76="1",BH76,0)</f>
        <v>0</v>
      </c>
      <c r="AC76" s="37">
        <f>IF(AQ76="1",BI76,0)</f>
        <v>0</v>
      </c>
      <c r="AD76" s="37">
        <f>IF(AQ76="7",BH76,0)</f>
        <v>0</v>
      </c>
      <c r="AE76" s="37">
        <f>IF(AQ76="7",BI76,0)</f>
        <v>0</v>
      </c>
      <c r="AF76" s="37">
        <f>IF(AQ76="2",BH76,0)</f>
        <v>0</v>
      </c>
      <c r="AG76" s="37">
        <f>IF(AQ76="2",BI76,0)</f>
        <v>0</v>
      </c>
      <c r="AH76" s="37">
        <f>IF(AQ76="0",BJ76,0)</f>
        <v>0</v>
      </c>
      <c r="AI76" s="35"/>
      <c r="AJ76" s="26">
        <f>IF(AN76=0,L76,0)</f>
        <v>0</v>
      </c>
      <c r="AK76" s="26">
        <f>IF(AN76=15,L76,0)</f>
        <v>0</v>
      </c>
      <c r="AL76" s="26">
        <f>IF(AN76=21,L76,0)</f>
        <v>0</v>
      </c>
      <c r="AN76" s="37">
        <v>21</v>
      </c>
      <c r="AO76" s="37">
        <f>I76*1</f>
        <v>0</v>
      </c>
      <c r="AP76" s="37">
        <f>I76*(1-1)</f>
        <v>0</v>
      </c>
      <c r="AQ76" s="39" t="s">
        <v>7</v>
      </c>
      <c r="AV76" s="37">
        <f>AW76+AX76</f>
        <v>0</v>
      </c>
      <c r="AW76" s="37">
        <f>H76*AO76</f>
        <v>0</v>
      </c>
      <c r="AX76" s="37">
        <f>H76*AP76</f>
        <v>0</v>
      </c>
      <c r="AY76" s="40" t="s">
        <v>1203</v>
      </c>
      <c r="AZ76" s="40" t="s">
        <v>1252</v>
      </c>
      <c r="BA76" s="35" t="s">
        <v>1262</v>
      </c>
      <c r="BC76" s="37">
        <f>AW76+AX76</f>
        <v>0</v>
      </c>
      <c r="BD76" s="37">
        <f>I76/(100-BE76)*100</f>
        <v>0</v>
      </c>
      <c r="BE76" s="37">
        <v>0</v>
      </c>
      <c r="BF76" s="37">
        <f>N76</f>
        <v>4785.72</v>
      </c>
      <c r="BH76" s="26">
        <f>H76*AO76</f>
        <v>0</v>
      </c>
      <c r="BI76" s="26">
        <f>H76*AP76</f>
        <v>0</v>
      </c>
      <c r="BJ76" s="26">
        <f>H76*I76</f>
        <v>0</v>
      </c>
      <c r="BK76" s="26" t="s">
        <v>1268</v>
      </c>
      <c r="BL76" s="37">
        <v>46</v>
      </c>
    </row>
    <row r="77" spans="1:64" x14ac:dyDescent="0.25">
      <c r="A77" s="5"/>
      <c r="C77" s="18" t="s">
        <v>754</v>
      </c>
      <c r="F77" s="20" t="s">
        <v>1139</v>
      </c>
      <c r="H77" s="25">
        <v>62.97</v>
      </c>
      <c r="N77" s="36"/>
      <c r="O77" s="5"/>
    </row>
    <row r="78" spans="1:64" x14ac:dyDescent="0.25">
      <c r="A78" s="6"/>
      <c r="B78" s="15" t="s">
        <v>67</v>
      </c>
      <c r="C78" s="132" t="s">
        <v>755</v>
      </c>
      <c r="D78" s="133"/>
      <c r="E78" s="133"/>
      <c r="F78" s="133"/>
      <c r="G78" s="22" t="s">
        <v>6</v>
      </c>
      <c r="H78" s="22" t="s">
        <v>6</v>
      </c>
      <c r="I78" s="22" t="s">
        <v>6</v>
      </c>
      <c r="J78" s="43">
        <f>SUM(J79:J85)</f>
        <v>0</v>
      </c>
      <c r="K78" s="43">
        <f>SUM(K79:K85)</f>
        <v>0</v>
      </c>
      <c r="L78" s="43">
        <f>SUM(L79:L85)</f>
        <v>0</v>
      </c>
      <c r="M78" s="35"/>
      <c r="N78" s="47">
        <f>SUM(N79:N85)</f>
        <v>7082.76</v>
      </c>
      <c r="O78" s="5"/>
      <c r="AI78" s="35"/>
      <c r="AS78" s="43">
        <f>SUM(AJ79:AJ85)</f>
        <v>0</v>
      </c>
      <c r="AT78" s="43">
        <f>SUM(AK79:AK85)</f>
        <v>0</v>
      </c>
      <c r="AU78" s="43">
        <f>SUM(AL79:AL85)</f>
        <v>0</v>
      </c>
    </row>
    <row r="79" spans="1:64" x14ac:dyDescent="0.25">
      <c r="A79" s="4" t="s">
        <v>40</v>
      </c>
      <c r="B79" s="14" t="s">
        <v>377</v>
      </c>
      <c r="C79" s="130" t="s">
        <v>756</v>
      </c>
      <c r="D79" s="131"/>
      <c r="E79" s="131"/>
      <c r="F79" s="131"/>
      <c r="G79" s="14" t="s">
        <v>1169</v>
      </c>
      <c r="H79" s="24">
        <v>31.76</v>
      </c>
      <c r="I79" s="24">
        <v>0</v>
      </c>
      <c r="J79" s="24">
        <f>H79*AO79</f>
        <v>0</v>
      </c>
      <c r="K79" s="24">
        <f>H79*AP79</f>
        <v>0</v>
      </c>
      <c r="L79" s="24">
        <f>H79*I79</f>
        <v>0</v>
      </c>
      <c r="M79" s="24">
        <v>5.3899999999999998E-3</v>
      </c>
      <c r="N79" s="46">
        <f>H79*79</f>
        <v>2509.04</v>
      </c>
      <c r="O79" s="5"/>
      <c r="Z79" s="37">
        <f>IF(AQ79="5",BJ79,0)</f>
        <v>0</v>
      </c>
      <c r="AB79" s="37">
        <f>IF(AQ79="1",BH79,0)</f>
        <v>0</v>
      </c>
      <c r="AC79" s="37">
        <f>IF(AQ79="1",BI79,0)</f>
        <v>0</v>
      </c>
      <c r="AD79" s="37">
        <f>IF(AQ79="7",BH79,0)</f>
        <v>0</v>
      </c>
      <c r="AE79" s="37">
        <f>IF(AQ79="7",BI79,0)</f>
        <v>0</v>
      </c>
      <c r="AF79" s="37">
        <f>IF(AQ79="2",BH79,0)</f>
        <v>0</v>
      </c>
      <c r="AG79" s="37">
        <f>IF(AQ79="2",BI79,0)</f>
        <v>0</v>
      </c>
      <c r="AH79" s="37">
        <f>IF(AQ79="0",BJ79,0)</f>
        <v>0</v>
      </c>
      <c r="AI79" s="35"/>
      <c r="AJ79" s="24">
        <f>IF(AN79=0,L79,0)</f>
        <v>0</v>
      </c>
      <c r="AK79" s="24">
        <f>IF(AN79=15,L79,0)</f>
        <v>0</v>
      </c>
      <c r="AL79" s="24">
        <f>IF(AN79=21,L79,0)</f>
        <v>0</v>
      </c>
      <c r="AN79" s="37">
        <v>21</v>
      </c>
      <c r="AO79" s="37">
        <f>I79*0.0499611729938622</f>
        <v>0</v>
      </c>
      <c r="AP79" s="37">
        <f>I79*(1-0.0499611729938622)</f>
        <v>0</v>
      </c>
      <c r="AQ79" s="38" t="s">
        <v>7</v>
      </c>
      <c r="AV79" s="37">
        <f>AW79+AX79</f>
        <v>0</v>
      </c>
      <c r="AW79" s="37">
        <f>H79*AO79</f>
        <v>0</v>
      </c>
      <c r="AX79" s="37">
        <f>H79*AP79</f>
        <v>0</v>
      </c>
      <c r="AY79" s="40" t="s">
        <v>1204</v>
      </c>
      <c r="AZ79" s="40" t="s">
        <v>1253</v>
      </c>
      <c r="BA79" s="35" t="s">
        <v>1262</v>
      </c>
      <c r="BC79" s="37">
        <f>AW79+AX79</f>
        <v>0</v>
      </c>
      <c r="BD79" s="37">
        <f>I79/(100-BE79)*100</f>
        <v>0</v>
      </c>
      <c r="BE79" s="37">
        <v>0</v>
      </c>
      <c r="BF79" s="37">
        <f>N79</f>
        <v>2509.04</v>
      </c>
      <c r="BH79" s="24">
        <f>H79*AO79</f>
        <v>0</v>
      </c>
      <c r="BI79" s="24">
        <f>H79*AP79</f>
        <v>0</v>
      </c>
      <c r="BJ79" s="24">
        <f>H79*I79</f>
        <v>0</v>
      </c>
      <c r="BK79" s="24" t="s">
        <v>1267</v>
      </c>
      <c r="BL79" s="37">
        <v>61</v>
      </c>
    </row>
    <row r="80" spans="1:64" x14ac:dyDescent="0.25">
      <c r="A80" s="5"/>
      <c r="C80" s="18" t="s">
        <v>757</v>
      </c>
      <c r="F80" s="20"/>
      <c r="H80" s="25">
        <v>31.76</v>
      </c>
      <c r="N80" s="36"/>
      <c r="O80" s="5"/>
    </row>
    <row r="81" spans="1:64" x14ac:dyDescent="0.25">
      <c r="A81" s="4" t="s">
        <v>41</v>
      </c>
      <c r="B81" s="14" t="s">
        <v>378</v>
      </c>
      <c r="C81" s="130" t="s">
        <v>758</v>
      </c>
      <c r="D81" s="131"/>
      <c r="E81" s="131"/>
      <c r="F81" s="131"/>
      <c r="G81" s="14" t="s">
        <v>1169</v>
      </c>
      <c r="H81" s="24">
        <v>21.39</v>
      </c>
      <c r="I81" s="24">
        <v>0</v>
      </c>
      <c r="J81" s="24">
        <f>H81*AO81</f>
        <v>0</v>
      </c>
      <c r="K81" s="24">
        <f>H81*AP81</f>
        <v>0</v>
      </c>
      <c r="L81" s="24">
        <f>H81*I81</f>
        <v>0</v>
      </c>
      <c r="M81" s="24">
        <v>1.47E-2</v>
      </c>
      <c r="N81" s="46">
        <f>H81*81</f>
        <v>1732.5900000000001</v>
      </c>
      <c r="O81" s="5"/>
      <c r="Z81" s="37">
        <f>IF(AQ81="5",BJ81,0)</f>
        <v>0</v>
      </c>
      <c r="AB81" s="37">
        <f>IF(AQ81="1",BH81,0)</f>
        <v>0</v>
      </c>
      <c r="AC81" s="37">
        <f>IF(AQ81="1",BI81,0)</f>
        <v>0</v>
      </c>
      <c r="AD81" s="37">
        <f>IF(AQ81="7",BH81,0)</f>
        <v>0</v>
      </c>
      <c r="AE81" s="37">
        <f>IF(AQ81="7",BI81,0)</f>
        <v>0</v>
      </c>
      <c r="AF81" s="37">
        <f>IF(AQ81="2",BH81,0)</f>
        <v>0</v>
      </c>
      <c r="AG81" s="37">
        <f>IF(AQ81="2",BI81,0)</f>
        <v>0</v>
      </c>
      <c r="AH81" s="37">
        <f>IF(AQ81="0",BJ81,0)</f>
        <v>0</v>
      </c>
      <c r="AI81" s="35"/>
      <c r="AJ81" s="24">
        <f>IF(AN81=0,L81,0)</f>
        <v>0</v>
      </c>
      <c r="AK81" s="24">
        <f>IF(AN81=15,L81,0)</f>
        <v>0</v>
      </c>
      <c r="AL81" s="24">
        <f>IF(AN81=21,L81,0)</f>
        <v>0</v>
      </c>
      <c r="AN81" s="37">
        <v>21</v>
      </c>
      <c r="AO81" s="37">
        <f>I81*0.28585472064149</f>
        <v>0</v>
      </c>
      <c r="AP81" s="37">
        <f>I81*(1-0.28585472064149)</f>
        <v>0</v>
      </c>
      <c r="AQ81" s="38" t="s">
        <v>7</v>
      </c>
      <c r="AV81" s="37">
        <f>AW81+AX81</f>
        <v>0</v>
      </c>
      <c r="AW81" s="37">
        <f>H81*AO81</f>
        <v>0</v>
      </c>
      <c r="AX81" s="37">
        <f>H81*AP81</f>
        <v>0</v>
      </c>
      <c r="AY81" s="40" t="s">
        <v>1204</v>
      </c>
      <c r="AZ81" s="40" t="s">
        <v>1253</v>
      </c>
      <c r="BA81" s="35" t="s">
        <v>1262</v>
      </c>
      <c r="BC81" s="37">
        <f>AW81+AX81</f>
        <v>0</v>
      </c>
      <c r="BD81" s="37">
        <f>I81/(100-BE81)*100</f>
        <v>0</v>
      </c>
      <c r="BE81" s="37">
        <v>0</v>
      </c>
      <c r="BF81" s="37">
        <f>N81</f>
        <v>1732.5900000000001</v>
      </c>
      <c r="BH81" s="24">
        <f>H81*AO81</f>
        <v>0</v>
      </c>
      <c r="BI81" s="24">
        <f>H81*AP81</f>
        <v>0</v>
      </c>
      <c r="BJ81" s="24">
        <f>H81*I81</f>
        <v>0</v>
      </c>
      <c r="BK81" s="24" t="s">
        <v>1267</v>
      </c>
      <c r="BL81" s="37">
        <v>61</v>
      </c>
    </row>
    <row r="82" spans="1:64" x14ac:dyDescent="0.25">
      <c r="A82" s="5"/>
      <c r="C82" s="18" t="s">
        <v>759</v>
      </c>
      <c r="F82" s="20"/>
      <c r="H82" s="25">
        <v>21.39</v>
      </c>
      <c r="N82" s="36"/>
      <c r="O82" s="5"/>
    </row>
    <row r="83" spans="1:64" x14ac:dyDescent="0.25">
      <c r="A83" s="4" t="s">
        <v>42</v>
      </c>
      <c r="B83" s="14" t="s">
        <v>379</v>
      </c>
      <c r="C83" s="130" t="s">
        <v>760</v>
      </c>
      <c r="D83" s="131"/>
      <c r="E83" s="131"/>
      <c r="F83" s="131"/>
      <c r="G83" s="14" t="s">
        <v>1169</v>
      </c>
      <c r="H83" s="24">
        <v>29.11</v>
      </c>
      <c r="I83" s="24">
        <v>0</v>
      </c>
      <c r="J83" s="24">
        <f>H83*AO83</f>
        <v>0</v>
      </c>
      <c r="K83" s="24">
        <f>H83*AP83</f>
        <v>0</v>
      </c>
      <c r="L83" s="24">
        <f>H83*I83</f>
        <v>0</v>
      </c>
      <c r="M83" s="24">
        <v>4.9399999999999999E-3</v>
      </c>
      <c r="N83" s="46">
        <f>H83*83</f>
        <v>2416.13</v>
      </c>
      <c r="O83" s="5"/>
      <c r="Z83" s="37">
        <f>IF(AQ83="5",BJ83,0)</f>
        <v>0</v>
      </c>
      <c r="AB83" s="37">
        <f>IF(AQ83="1",BH83,0)</f>
        <v>0</v>
      </c>
      <c r="AC83" s="37">
        <f>IF(AQ83="1",BI83,0)</f>
        <v>0</v>
      </c>
      <c r="AD83" s="37">
        <f>IF(AQ83="7",BH83,0)</f>
        <v>0</v>
      </c>
      <c r="AE83" s="37">
        <f>IF(AQ83="7",BI83,0)</f>
        <v>0</v>
      </c>
      <c r="AF83" s="37">
        <f>IF(AQ83="2",BH83,0)</f>
        <v>0</v>
      </c>
      <c r="AG83" s="37">
        <f>IF(AQ83="2",BI83,0)</f>
        <v>0</v>
      </c>
      <c r="AH83" s="37">
        <f>IF(AQ83="0",BJ83,0)</f>
        <v>0</v>
      </c>
      <c r="AI83" s="35"/>
      <c r="AJ83" s="24">
        <f>IF(AN83=0,L83,0)</f>
        <v>0</v>
      </c>
      <c r="AK83" s="24">
        <f>IF(AN83=15,L83,0)</f>
        <v>0</v>
      </c>
      <c r="AL83" s="24">
        <f>IF(AN83=21,L83,0)</f>
        <v>0</v>
      </c>
      <c r="AN83" s="37">
        <v>21</v>
      </c>
      <c r="AO83" s="37">
        <f>I83*0.175969652351738</f>
        <v>0</v>
      </c>
      <c r="AP83" s="37">
        <f>I83*(1-0.175969652351738)</f>
        <v>0</v>
      </c>
      <c r="AQ83" s="38" t="s">
        <v>7</v>
      </c>
      <c r="AV83" s="37">
        <f>AW83+AX83</f>
        <v>0</v>
      </c>
      <c r="AW83" s="37">
        <f>H83*AO83</f>
        <v>0</v>
      </c>
      <c r="AX83" s="37">
        <f>H83*AP83</f>
        <v>0</v>
      </c>
      <c r="AY83" s="40" t="s">
        <v>1204</v>
      </c>
      <c r="AZ83" s="40" t="s">
        <v>1253</v>
      </c>
      <c r="BA83" s="35" t="s">
        <v>1262</v>
      </c>
      <c r="BC83" s="37">
        <f>AW83+AX83</f>
        <v>0</v>
      </c>
      <c r="BD83" s="37">
        <f>I83/(100-BE83)*100</f>
        <v>0</v>
      </c>
      <c r="BE83" s="37">
        <v>0</v>
      </c>
      <c r="BF83" s="37">
        <f>N83</f>
        <v>2416.13</v>
      </c>
      <c r="BH83" s="24">
        <f>H83*AO83</f>
        <v>0</v>
      </c>
      <c r="BI83" s="24">
        <f>H83*AP83</f>
        <v>0</v>
      </c>
      <c r="BJ83" s="24">
        <f>H83*I83</f>
        <v>0</v>
      </c>
      <c r="BK83" s="24" t="s">
        <v>1267</v>
      </c>
      <c r="BL83" s="37">
        <v>61</v>
      </c>
    </row>
    <row r="84" spans="1:64" x14ac:dyDescent="0.25">
      <c r="A84" s="5"/>
      <c r="C84" s="18" t="s">
        <v>761</v>
      </c>
      <c r="F84" s="20"/>
      <c r="H84" s="25">
        <v>29.11</v>
      </c>
      <c r="N84" s="36"/>
      <c r="O84" s="5"/>
    </row>
    <row r="85" spans="1:64" x14ac:dyDescent="0.25">
      <c r="A85" s="4" t="s">
        <v>43</v>
      </c>
      <c r="B85" s="14" t="s">
        <v>380</v>
      </c>
      <c r="C85" s="130" t="s">
        <v>762</v>
      </c>
      <c r="D85" s="131"/>
      <c r="E85" s="131"/>
      <c r="F85" s="131"/>
      <c r="G85" s="14" t="s">
        <v>1170</v>
      </c>
      <c r="H85" s="24">
        <v>5</v>
      </c>
      <c r="I85" s="24">
        <v>0</v>
      </c>
      <c r="J85" s="24">
        <f>H85*AO85</f>
        <v>0</v>
      </c>
      <c r="K85" s="24">
        <f>H85*AP85</f>
        <v>0</v>
      </c>
      <c r="L85" s="24">
        <f>H85*I85</f>
        <v>0</v>
      </c>
      <c r="M85" s="24">
        <v>3.2000000000000002E-3</v>
      </c>
      <c r="N85" s="46">
        <f>H85*85</f>
        <v>425</v>
      </c>
      <c r="O85" s="5"/>
      <c r="Z85" s="37">
        <f>IF(AQ85="5",BJ85,0)</f>
        <v>0</v>
      </c>
      <c r="AB85" s="37">
        <f>IF(AQ85="1",BH85,0)</f>
        <v>0</v>
      </c>
      <c r="AC85" s="37">
        <f>IF(AQ85="1",BI85,0)</f>
        <v>0</v>
      </c>
      <c r="AD85" s="37">
        <f>IF(AQ85="7",BH85,0)</f>
        <v>0</v>
      </c>
      <c r="AE85" s="37">
        <f>IF(AQ85="7",BI85,0)</f>
        <v>0</v>
      </c>
      <c r="AF85" s="37">
        <f>IF(AQ85="2",BH85,0)</f>
        <v>0</v>
      </c>
      <c r="AG85" s="37">
        <f>IF(AQ85="2",BI85,0)</f>
        <v>0</v>
      </c>
      <c r="AH85" s="37">
        <f>IF(AQ85="0",BJ85,0)</f>
        <v>0</v>
      </c>
      <c r="AI85" s="35"/>
      <c r="AJ85" s="24">
        <f>IF(AN85=0,L85,0)</f>
        <v>0</v>
      </c>
      <c r="AK85" s="24">
        <f>IF(AN85=15,L85,0)</f>
        <v>0</v>
      </c>
      <c r="AL85" s="24">
        <f>IF(AN85=21,L85,0)</f>
        <v>0</v>
      </c>
      <c r="AN85" s="37">
        <v>21</v>
      </c>
      <c r="AO85" s="37">
        <f>I85*0.186131386861314</f>
        <v>0</v>
      </c>
      <c r="AP85" s="37">
        <f>I85*(1-0.186131386861314)</f>
        <v>0</v>
      </c>
      <c r="AQ85" s="38" t="s">
        <v>7</v>
      </c>
      <c r="AV85" s="37">
        <f>AW85+AX85</f>
        <v>0</v>
      </c>
      <c r="AW85" s="37">
        <f>H85*AO85</f>
        <v>0</v>
      </c>
      <c r="AX85" s="37">
        <f>H85*AP85</f>
        <v>0</v>
      </c>
      <c r="AY85" s="40" t="s">
        <v>1204</v>
      </c>
      <c r="AZ85" s="40" t="s">
        <v>1253</v>
      </c>
      <c r="BA85" s="35" t="s">
        <v>1262</v>
      </c>
      <c r="BC85" s="37">
        <f>AW85+AX85</f>
        <v>0</v>
      </c>
      <c r="BD85" s="37">
        <f>I85/(100-BE85)*100</f>
        <v>0</v>
      </c>
      <c r="BE85" s="37">
        <v>0</v>
      </c>
      <c r="BF85" s="37">
        <f>N85</f>
        <v>425</v>
      </c>
      <c r="BH85" s="24">
        <f>H85*AO85</f>
        <v>0</v>
      </c>
      <c r="BI85" s="24">
        <f>H85*AP85</f>
        <v>0</v>
      </c>
      <c r="BJ85" s="24">
        <f>H85*I85</f>
        <v>0</v>
      </c>
      <c r="BK85" s="24" t="s">
        <v>1267</v>
      </c>
      <c r="BL85" s="37">
        <v>61</v>
      </c>
    </row>
    <row r="86" spans="1:64" x14ac:dyDescent="0.25">
      <c r="A86" s="6"/>
      <c r="B86" s="15" t="s">
        <v>68</v>
      </c>
      <c r="C86" s="132" t="s">
        <v>763</v>
      </c>
      <c r="D86" s="133"/>
      <c r="E86" s="133"/>
      <c r="F86" s="133"/>
      <c r="G86" s="22" t="s">
        <v>6</v>
      </c>
      <c r="H86" s="22" t="s">
        <v>6</v>
      </c>
      <c r="I86" s="22" t="s">
        <v>6</v>
      </c>
      <c r="J86" s="43">
        <f>SUM(J87:J87)</f>
        <v>0</v>
      </c>
      <c r="K86" s="43">
        <f>SUM(K87:K87)</f>
        <v>0</v>
      </c>
      <c r="L86" s="43">
        <f>SUM(L87:L87)</f>
        <v>0</v>
      </c>
      <c r="M86" s="35"/>
      <c r="N86" s="47">
        <f>SUM(N87:N87)</f>
        <v>43.5</v>
      </c>
      <c r="O86" s="5"/>
      <c r="AI86" s="35"/>
      <c r="AS86" s="43">
        <f>SUM(AJ87:AJ87)</f>
        <v>0</v>
      </c>
      <c r="AT86" s="43">
        <f>SUM(AK87:AK87)</f>
        <v>0</v>
      </c>
      <c r="AU86" s="43">
        <f>SUM(AL87:AL87)</f>
        <v>0</v>
      </c>
    </row>
    <row r="87" spans="1:64" x14ac:dyDescent="0.25">
      <c r="A87" s="4" t="s">
        <v>44</v>
      </c>
      <c r="B87" s="14" t="s">
        <v>381</v>
      </c>
      <c r="C87" s="130" t="s">
        <v>764</v>
      </c>
      <c r="D87" s="131"/>
      <c r="E87" s="131"/>
      <c r="F87" s="131"/>
      <c r="G87" s="14" t="s">
        <v>1169</v>
      </c>
      <c r="H87" s="24">
        <v>0.5</v>
      </c>
      <c r="I87" s="24">
        <v>0</v>
      </c>
      <c r="J87" s="24">
        <f>H87*AO87</f>
        <v>0</v>
      </c>
      <c r="K87" s="24">
        <f>H87*AP87</f>
        <v>0</v>
      </c>
      <c r="L87" s="24">
        <f>H87*I87</f>
        <v>0</v>
      </c>
      <c r="M87" s="24">
        <v>5.5129999999999998E-2</v>
      </c>
      <c r="N87" s="46">
        <f>H87*87</f>
        <v>43.5</v>
      </c>
      <c r="O87" s="5"/>
      <c r="Z87" s="37">
        <f>IF(AQ87="5",BJ87,0)</f>
        <v>0</v>
      </c>
      <c r="AB87" s="37">
        <f>IF(AQ87="1",BH87,0)</f>
        <v>0</v>
      </c>
      <c r="AC87" s="37">
        <f>IF(AQ87="1",BI87,0)</f>
        <v>0</v>
      </c>
      <c r="AD87" s="37">
        <f>IF(AQ87="7",BH87,0)</f>
        <v>0</v>
      </c>
      <c r="AE87" s="37">
        <f>IF(AQ87="7",BI87,0)</f>
        <v>0</v>
      </c>
      <c r="AF87" s="37">
        <f>IF(AQ87="2",BH87,0)</f>
        <v>0</v>
      </c>
      <c r="AG87" s="37">
        <f>IF(AQ87="2",BI87,0)</f>
        <v>0</v>
      </c>
      <c r="AH87" s="37">
        <f>IF(AQ87="0",BJ87,0)</f>
        <v>0</v>
      </c>
      <c r="AI87" s="35"/>
      <c r="AJ87" s="24">
        <f>IF(AN87=0,L87,0)</f>
        <v>0</v>
      </c>
      <c r="AK87" s="24">
        <f>IF(AN87=15,L87,0)</f>
        <v>0</v>
      </c>
      <c r="AL87" s="24">
        <f>IF(AN87=21,L87,0)</f>
        <v>0</v>
      </c>
      <c r="AN87" s="37">
        <v>21</v>
      </c>
      <c r="AO87" s="37">
        <f>I87*0.212740740740741</f>
        <v>0</v>
      </c>
      <c r="AP87" s="37">
        <f>I87*(1-0.212740740740741)</f>
        <v>0</v>
      </c>
      <c r="AQ87" s="38" t="s">
        <v>7</v>
      </c>
      <c r="AV87" s="37">
        <f>AW87+AX87</f>
        <v>0</v>
      </c>
      <c r="AW87" s="37">
        <f>H87*AO87</f>
        <v>0</v>
      </c>
      <c r="AX87" s="37">
        <f>H87*AP87</f>
        <v>0</v>
      </c>
      <c r="AY87" s="40" t="s">
        <v>1205</v>
      </c>
      <c r="AZ87" s="40" t="s">
        <v>1253</v>
      </c>
      <c r="BA87" s="35" t="s">
        <v>1262</v>
      </c>
      <c r="BC87" s="37">
        <f>AW87+AX87</f>
        <v>0</v>
      </c>
      <c r="BD87" s="37">
        <f>I87/(100-BE87)*100</f>
        <v>0</v>
      </c>
      <c r="BE87" s="37">
        <v>0</v>
      </c>
      <c r="BF87" s="37">
        <f>N87</f>
        <v>43.5</v>
      </c>
      <c r="BH87" s="24">
        <f>H87*AO87</f>
        <v>0</v>
      </c>
      <c r="BI87" s="24">
        <f>H87*AP87</f>
        <v>0</v>
      </c>
      <c r="BJ87" s="24">
        <f>H87*I87</f>
        <v>0</v>
      </c>
      <c r="BK87" s="24" t="s">
        <v>1267</v>
      </c>
      <c r="BL87" s="37">
        <v>62</v>
      </c>
    </row>
    <row r="88" spans="1:64" x14ac:dyDescent="0.25">
      <c r="A88" s="6"/>
      <c r="B88" s="15" t="s">
        <v>69</v>
      </c>
      <c r="C88" s="132" t="s">
        <v>765</v>
      </c>
      <c r="D88" s="133"/>
      <c r="E88" s="133"/>
      <c r="F88" s="133"/>
      <c r="G88" s="22" t="s">
        <v>6</v>
      </c>
      <c r="H88" s="22" t="s">
        <v>6</v>
      </c>
      <c r="I88" s="22" t="s">
        <v>6</v>
      </c>
      <c r="J88" s="43">
        <f>SUM(J89:J91)</f>
        <v>0</v>
      </c>
      <c r="K88" s="43">
        <f>SUM(K89:K91)</f>
        <v>0</v>
      </c>
      <c r="L88" s="43">
        <f>SUM(L89:L91)</f>
        <v>0</v>
      </c>
      <c r="M88" s="35"/>
      <c r="N88" s="47">
        <f>SUM(N89:N91)</f>
        <v>70.53</v>
      </c>
      <c r="O88" s="5"/>
      <c r="AI88" s="35"/>
      <c r="AS88" s="43">
        <f>SUM(AJ89:AJ91)</f>
        <v>0</v>
      </c>
      <c r="AT88" s="43">
        <f>SUM(AK89:AK91)</f>
        <v>0</v>
      </c>
      <c r="AU88" s="43">
        <f>SUM(AL89:AL91)</f>
        <v>0</v>
      </c>
    </row>
    <row r="89" spans="1:64" x14ac:dyDescent="0.25">
      <c r="A89" s="4" t="s">
        <v>45</v>
      </c>
      <c r="B89" s="14" t="s">
        <v>382</v>
      </c>
      <c r="C89" s="130" t="s">
        <v>766</v>
      </c>
      <c r="D89" s="131"/>
      <c r="E89" s="131"/>
      <c r="F89" s="131"/>
      <c r="G89" s="14" t="s">
        <v>1167</v>
      </c>
      <c r="H89" s="24">
        <v>0.68</v>
      </c>
      <c r="I89" s="24">
        <v>0</v>
      </c>
      <c r="J89" s="24">
        <f>H89*AO89</f>
        <v>0</v>
      </c>
      <c r="K89" s="24">
        <f>H89*AP89</f>
        <v>0</v>
      </c>
      <c r="L89" s="24">
        <f>H89*I89</f>
        <v>0</v>
      </c>
      <c r="M89" s="24">
        <v>2.5249999999999999</v>
      </c>
      <c r="N89" s="46">
        <f>H89*89</f>
        <v>60.52</v>
      </c>
      <c r="O89" s="5"/>
      <c r="Z89" s="37">
        <f>IF(AQ89="5",BJ89,0)</f>
        <v>0</v>
      </c>
      <c r="AB89" s="37">
        <f>IF(AQ89="1",BH89,0)</f>
        <v>0</v>
      </c>
      <c r="AC89" s="37">
        <f>IF(AQ89="1",BI89,0)</f>
        <v>0</v>
      </c>
      <c r="AD89" s="37">
        <f>IF(AQ89="7",BH89,0)</f>
        <v>0</v>
      </c>
      <c r="AE89" s="37">
        <f>IF(AQ89="7",BI89,0)</f>
        <v>0</v>
      </c>
      <c r="AF89" s="37">
        <f>IF(AQ89="2",BH89,0)</f>
        <v>0</v>
      </c>
      <c r="AG89" s="37">
        <f>IF(AQ89="2",BI89,0)</f>
        <v>0</v>
      </c>
      <c r="AH89" s="37">
        <f>IF(AQ89="0",BJ89,0)</f>
        <v>0</v>
      </c>
      <c r="AI89" s="35"/>
      <c r="AJ89" s="24">
        <f>IF(AN89=0,L89,0)</f>
        <v>0</v>
      </c>
      <c r="AK89" s="24">
        <f>IF(AN89=15,L89,0)</f>
        <v>0</v>
      </c>
      <c r="AL89" s="24">
        <f>IF(AN89=21,L89,0)</f>
        <v>0</v>
      </c>
      <c r="AN89" s="37">
        <v>21</v>
      </c>
      <c r="AO89" s="37">
        <f>I89*0.62423102310231</f>
        <v>0</v>
      </c>
      <c r="AP89" s="37">
        <f>I89*(1-0.62423102310231)</f>
        <v>0</v>
      </c>
      <c r="AQ89" s="38" t="s">
        <v>7</v>
      </c>
      <c r="AV89" s="37">
        <f>AW89+AX89</f>
        <v>0</v>
      </c>
      <c r="AW89" s="37">
        <f>H89*AO89</f>
        <v>0</v>
      </c>
      <c r="AX89" s="37">
        <f>H89*AP89</f>
        <v>0</v>
      </c>
      <c r="AY89" s="40" t="s">
        <v>1206</v>
      </c>
      <c r="AZ89" s="40" t="s">
        <v>1253</v>
      </c>
      <c r="BA89" s="35" t="s">
        <v>1262</v>
      </c>
      <c r="BC89" s="37">
        <f>AW89+AX89</f>
        <v>0</v>
      </c>
      <c r="BD89" s="37">
        <f>I89/(100-BE89)*100</f>
        <v>0</v>
      </c>
      <c r="BE89" s="37">
        <v>0</v>
      </c>
      <c r="BF89" s="37">
        <f>N89</f>
        <v>60.52</v>
      </c>
      <c r="BH89" s="24">
        <f>H89*AO89</f>
        <v>0</v>
      </c>
      <c r="BI89" s="24">
        <f>H89*AP89</f>
        <v>0</v>
      </c>
      <c r="BJ89" s="24">
        <f>H89*I89</f>
        <v>0</v>
      </c>
      <c r="BK89" s="24" t="s">
        <v>1267</v>
      </c>
      <c r="BL89" s="37">
        <v>63</v>
      </c>
    </row>
    <row r="90" spans="1:64" x14ac:dyDescent="0.25">
      <c r="A90" s="5"/>
      <c r="C90" s="18" t="s">
        <v>767</v>
      </c>
      <c r="F90" s="20"/>
      <c r="H90" s="25">
        <v>0.68</v>
      </c>
      <c r="N90" s="36"/>
      <c r="O90" s="5"/>
    </row>
    <row r="91" spans="1:64" x14ac:dyDescent="0.25">
      <c r="A91" s="4" t="s">
        <v>46</v>
      </c>
      <c r="B91" s="14" t="s">
        <v>383</v>
      </c>
      <c r="C91" s="130" t="s">
        <v>768</v>
      </c>
      <c r="D91" s="131"/>
      <c r="E91" s="131"/>
      <c r="F91" s="131"/>
      <c r="G91" s="14" t="s">
        <v>1167</v>
      </c>
      <c r="H91" s="24">
        <v>0.11</v>
      </c>
      <c r="I91" s="24">
        <v>0</v>
      </c>
      <c r="J91" s="24">
        <f>H91*AO91</f>
        <v>0</v>
      </c>
      <c r="K91" s="24">
        <f>H91*AP91</f>
        <v>0</v>
      </c>
      <c r="L91" s="24">
        <f>H91*I91</f>
        <v>0</v>
      </c>
      <c r="M91" s="24">
        <v>2.5249999999999999</v>
      </c>
      <c r="N91" s="46">
        <f>H91*91</f>
        <v>10.01</v>
      </c>
      <c r="O91" s="5"/>
      <c r="Z91" s="37">
        <f>IF(AQ91="5",BJ91,0)</f>
        <v>0</v>
      </c>
      <c r="AB91" s="37">
        <f>IF(AQ91="1",BH91,0)</f>
        <v>0</v>
      </c>
      <c r="AC91" s="37">
        <f>IF(AQ91="1",BI91,0)</f>
        <v>0</v>
      </c>
      <c r="AD91" s="37">
        <f>IF(AQ91="7",BH91,0)</f>
        <v>0</v>
      </c>
      <c r="AE91" s="37">
        <f>IF(AQ91="7",BI91,0)</f>
        <v>0</v>
      </c>
      <c r="AF91" s="37">
        <f>IF(AQ91="2",BH91,0)</f>
        <v>0</v>
      </c>
      <c r="AG91" s="37">
        <f>IF(AQ91="2",BI91,0)</f>
        <v>0</v>
      </c>
      <c r="AH91" s="37">
        <f>IF(AQ91="0",BJ91,0)</f>
        <v>0</v>
      </c>
      <c r="AI91" s="35"/>
      <c r="AJ91" s="24">
        <f>IF(AN91=0,L91,0)</f>
        <v>0</v>
      </c>
      <c r="AK91" s="24">
        <f>IF(AN91=15,L91,0)</f>
        <v>0</v>
      </c>
      <c r="AL91" s="24">
        <f>IF(AN91=21,L91,0)</f>
        <v>0</v>
      </c>
      <c r="AN91" s="37">
        <v>21</v>
      </c>
      <c r="AO91" s="37">
        <f>I91*0.713857384987894</f>
        <v>0</v>
      </c>
      <c r="AP91" s="37">
        <f>I91*(1-0.713857384987894)</f>
        <v>0</v>
      </c>
      <c r="AQ91" s="38" t="s">
        <v>7</v>
      </c>
      <c r="AV91" s="37">
        <f>AW91+AX91</f>
        <v>0</v>
      </c>
      <c r="AW91" s="37">
        <f>H91*AO91</f>
        <v>0</v>
      </c>
      <c r="AX91" s="37">
        <f>H91*AP91</f>
        <v>0</v>
      </c>
      <c r="AY91" s="40" t="s">
        <v>1206</v>
      </c>
      <c r="AZ91" s="40" t="s">
        <v>1253</v>
      </c>
      <c r="BA91" s="35" t="s">
        <v>1262</v>
      </c>
      <c r="BC91" s="37">
        <f>AW91+AX91</f>
        <v>0</v>
      </c>
      <c r="BD91" s="37">
        <f>I91/(100-BE91)*100</f>
        <v>0</v>
      </c>
      <c r="BE91" s="37">
        <v>0</v>
      </c>
      <c r="BF91" s="37">
        <f>N91</f>
        <v>10.01</v>
      </c>
      <c r="BH91" s="24">
        <f>H91*AO91</f>
        <v>0</v>
      </c>
      <c r="BI91" s="24">
        <f>H91*AP91</f>
        <v>0</v>
      </c>
      <c r="BJ91" s="24">
        <f>H91*I91</f>
        <v>0</v>
      </c>
      <c r="BK91" s="24" t="s">
        <v>1267</v>
      </c>
      <c r="BL91" s="37">
        <v>63</v>
      </c>
    </row>
    <row r="92" spans="1:64" x14ac:dyDescent="0.25">
      <c r="A92" s="6"/>
      <c r="B92" s="15" t="s">
        <v>70</v>
      </c>
      <c r="C92" s="132" t="s">
        <v>769</v>
      </c>
      <c r="D92" s="133"/>
      <c r="E92" s="133"/>
      <c r="F92" s="133"/>
      <c r="G92" s="22" t="s">
        <v>6</v>
      </c>
      <c r="H92" s="22" t="s">
        <v>6</v>
      </c>
      <c r="I92" s="22" t="s">
        <v>6</v>
      </c>
      <c r="J92" s="43">
        <f>SUM(J93:J99)</f>
        <v>0</v>
      </c>
      <c r="K92" s="43">
        <f>SUM(K93:K99)</f>
        <v>0</v>
      </c>
      <c r="L92" s="43">
        <f>SUM(L93:L99)</f>
        <v>0</v>
      </c>
      <c r="M92" s="35"/>
      <c r="N92" s="47">
        <f>SUM(N93:N99)</f>
        <v>672</v>
      </c>
      <c r="O92" s="5"/>
      <c r="AI92" s="35"/>
      <c r="AS92" s="43">
        <f>SUM(AJ93:AJ99)</f>
        <v>0</v>
      </c>
      <c r="AT92" s="43">
        <f>SUM(AK93:AK99)</f>
        <v>0</v>
      </c>
      <c r="AU92" s="43">
        <f>SUM(AL93:AL99)</f>
        <v>0</v>
      </c>
    </row>
    <row r="93" spans="1:64" x14ac:dyDescent="0.25">
      <c r="A93" s="4" t="s">
        <v>47</v>
      </c>
      <c r="B93" s="14" t="s">
        <v>384</v>
      </c>
      <c r="C93" s="130" t="s">
        <v>770</v>
      </c>
      <c r="D93" s="131"/>
      <c r="E93" s="131"/>
      <c r="F93" s="131"/>
      <c r="G93" s="14" t="s">
        <v>1170</v>
      </c>
      <c r="H93" s="24">
        <v>1</v>
      </c>
      <c r="I93" s="24">
        <v>0</v>
      </c>
      <c r="J93" s="24">
        <f t="shared" ref="J93:J99" si="23">H93*AO93</f>
        <v>0</v>
      </c>
      <c r="K93" s="24">
        <f t="shared" ref="K93:K99" si="24">H93*AP93</f>
        <v>0</v>
      </c>
      <c r="L93" s="24">
        <f t="shared" ref="L93:L99" si="25">H93*I93</f>
        <v>0</v>
      </c>
      <c r="M93" s="24">
        <v>2.5260000000000001E-2</v>
      </c>
      <c r="N93" s="46">
        <f>H93*93</f>
        <v>93</v>
      </c>
      <c r="O93" s="5"/>
      <c r="Z93" s="37">
        <f t="shared" ref="Z93:Z99" si="26">IF(AQ93="5",BJ93,0)</f>
        <v>0</v>
      </c>
      <c r="AB93" s="37">
        <f t="shared" ref="AB93:AB99" si="27">IF(AQ93="1",BH93,0)</f>
        <v>0</v>
      </c>
      <c r="AC93" s="37">
        <f t="shared" ref="AC93:AC99" si="28">IF(AQ93="1",BI93,0)</f>
        <v>0</v>
      </c>
      <c r="AD93" s="37">
        <f t="shared" ref="AD93:AD99" si="29">IF(AQ93="7",BH93,0)</f>
        <v>0</v>
      </c>
      <c r="AE93" s="37">
        <f t="shared" ref="AE93:AE99" si="30">IF(AQ93="7",BI93,0)</f>
        <v>0</v>
      </c>
      <c r="AF93" s="37">
        <f t="shared" ref="AF93:AF99" si="31">IF(AQ93="2",BH93,0)</f>
        <v>0</v>
      </c>
      <c r="AG93" s="37">
        <f t="shared" ref="AG93:AG99" si="32">IF(AQ93="2",BI93,0)</f>
        <v>0</v>
      </c>
      <c r="AH93" s="37">
        <f t="shared" ref="AH93:AH99" si="33">IF(AQ93="0",BJ93,0)</f>
        <v>0</v>
      </c>
      <c r="AI93" s="35"/>
      <c r="AJ93" s="24">
        <f t="shared" ref="AJ93:AJ99" si="34">IF(AN93=0,L93,0)</f>
        <v>0</v>
      </c>
      <c r="AK93" s="24">
        <f t="shared" ref="AK93:AK99" si="35">IF(AN93=15,L93,0)</f>
        <v>0</v>
      </c>
      <c r="AL93" s="24">
        <f t="shared" ref="AL93:AL99" si="36">IF(AN93=21,L93,0)</f>
        <v>0</v>
      </c>
      <c r="AN93" s="37">
        <v>21</v>
      </c>
      <c r="AO93" s="37">
        <f>I93*0.197388059701493</f>
        <v>0</v>
      </c>
      <c r="AP93" s="37">
        <f>I93*(1-0.197388059701493)</f>
        <v>0</v>
      </c>
      <c r="AQ93" s="38" t="s">
        <v>7</v>
      </c>
      <c r="AV93" s="37">
        <f t="shared" ref="AV93:AV99" si="37">AW93+AX93</f>
        <v>0</v>
      </c>
      <c r="AW93" s="37">
        <f t="shared" ref="AW93:AW99" si="38">H93*AO93</f>
        <v>0</v>
      </c>
      <c r="AX93" s="37">
        <f t="shared" ref="AX93:AX99" si="39">H93*AP93</f>
        <v>0</v>
      </c>
      <c r="AY93" s="40" t="s">
        <v>1207</v>
      </c>
      <c r="AZ93" s="40" t="s">
        <v>1253</v>
      </c>
      <c r="BA93" s="35" t="s">
        <v>1262</v>
      </c>
      <c r="BC93" s="37">
        <f t="shared" ref="BC93:BC99" si="40">AW93+AX93</f>
        <v>0</v>
      </c>
      <c r="BD93" s="37">
        <f t="shared" ref="BD93:BD99" si="41">I93/(100-BE93)*100</f>
        <v>0</v>
      </c>
      <c r="BE93" s="37">
        <v>0</v>
      </c>
      <c r="BF93" s="37">
        <f t="shared" ref="BF93:BF99" si="42">N93</f>
        <v>93</v>
      </c>
      <c r="BH93" s="24">
        <f t="shared" ref="BH93:BH99" si="43">H93*AO93</f>
        <v>0</v>
      </c>
      <c r="BI93" s="24">
        <f t="shared" ref="BI93:BI99" si="44">H93*AP93</f>
        <v>0</v>
      </c>
      <c r="BJ93" s="24">
        <f t="shared" ref="BJ93:BJ99" si="45">H93*I93</f>
        <v>0</v>
      </c>
      <c r="BK93" s="24" t="s">
        <v>1267</v>
      </c>
      <c r="BL93" s="37">
        <v>64</v>
      </c>
    </row>
    <row r="94" spans="1:64" x14ac:dyDescent="0.25">
      <c r="A94" s="7" t="s">
        <v>48</v>
      </c>
      <c r="B94" s="16" t="s">
        <v>385</v>
      </c>
      <c r="C94" s="134" t="s">
        <v>771</v>
      </c>
      <c r="D94" s="135"/>
      <c r="E94" s="135"/>
      <c r="F94" s="135"/>
      <c r="G94" s="16" t="s">
        <v>1170</v>
      </c>
      <c r="H94" s="26">
        <v>1</v>
      </c>
      <c r="I94" s="26">
        <v>0</v>
      </c>
      <c r="J94" s="26">
        <f t="shared" si="23"/>
        <v>0</v>
      </c>
      <c r="K94" s="26">
        <f t="shared" si="24"/>
        <v>0</v>
      </c>
      <c r="L94" s="26">
        <f t="shared" si="25"/>
        <v>0</v>
      </c>
      <c r="M94" s="26">
        <v>7.1000000000000004E-3</v>
      </c>
      <c r="N94" s="48">
        <f>H94*94</f>
        <v>94</v>
      </c>
      <c r="O94" s="5"/>
      <c r="Z94" s="37">
        <f t="shared" si="26"/>
        <v>0</v>
      </c>
      <c r="AB94" s="37">
        <f t="shared" si="27"/>
        <v>0</v>
      </c>
      <c r="AC94" s="37">
        <f t="shared" si="28"/>
        <v>0</v>
      </c>
      <c r="AD94" s="37">
        <f t="shared" si="29"/>
        <v>0</v>
      </c>
      <c r="AE94" s="37">
        <f t="shared" si="30"/>
        <v>0</v>
      </c>
      <c r="AF94" s="37">
        <f t="shared" si="31"/>
        <v>0</v>
      </c>
      <c r="AG94" s="37">
        <f t="shared" si="32"/>
        <v>0</v>
      </c>
      <c r="AH94" s="37">
        <f t="shared" si="33"/>
        <v>0</v>
      </c>
      <c r="AI94" s="35"/>
      <c r="AJ94" s="26">
        <f t="shared" si="34"/>
        <v>0</v>
      </c>
      <c r="AK94" s="26">
        <f t="shared" si="35"/>
        <v>0</v>
      </c>
      <c r="AL94" s="26">
        <f t="shared" si="36"/>
        <v>0</v>
      </c>
      <c r="AN94" s="37">
        <v>21</v>
      </c>
      <c r="AO94" s="37">
        <f>I94*1</f>
        <v>0</v>
      </c>
      <c r="AP94" s="37">
        <f>I94*(1-1)</f>
        <v>0</v>
      </c>
      <c r="AQ94" s="39" t="s">
        <v>7</v>
      </c>
      <c r="AV94" s="37">
        <f t="shared" si="37"/>
        <v>0</v>
      </c>
      <c r="AW94" s="37">
        <f t="shared" si="38"/>
        <v>0</v>
      </c>
      <c r="AX94" s="37">
        <f t="shared" si="39"/>
        <v>0</v>
      </c>
      <c r="AY94" s="40" t="s">
        <v>1207</v>
      </c>
      <c r="AZ94" s="40" t="s">
        <v>1253</v>
      </c>
      <c r="BA94" s="35" t="s">
        <v>1262</v>
      </c>
      <c r="BC94" s="37">
        <f t="shared" si="40"/>
        <v>0</v>
      </c>
      <c r="BD94" s="37">
        <f t="shared" si="41"/>
        <v>0</v>
      </c>
      <c r="BE94" s="37">
        <v>0</v>
      </c>
      <c r="BF94" s="37">
        <f t="shared" si="42"/>
        <v>94</v>
      </c>
      <c r="BH94" s="26">
        <f t="shared" si="43"/>
        <v>0</v>
      </c>
      <c r="BI94" s="26">
        <f t="shared" si="44"/>
        <v>0</v>
      </c>
      <c r="BJ94" s="26">
        <f t="shared" si="45"/>
        <v>0</v>
      </c>
      <c r="BK94" s="26" t="s">
        <v>1268</v>
      </c>
      <c r="BL94" s="37">
        <v>64</v>
      </c>
    </row>
    <row r="95" spans="1:64" x14ac:dyDescent="0.25">
      <c r="A95" s="4" t="s">
        <v>49</v>
      </c>
      <c r="B95" s="14" t="s">
        <v>386</v>
      </c>
      <c r="C95" s="130" t="s">
        <v>772</v>
      </c>
      <c r="D95" s="131"/>
      <c r="E95" s="131"/>
      <c r="F95" s="131"/>
      <c r="G95" s="14" t="s">
        <v>1170</v>
      </c>
      <c r="H95" s="24">
        <v>1</v>
      </c>
      <c r="I95" s="24">
        <v>0</v>
      </c>
      <c r="J95" s="24">
        <f t="shared" si="23"/>
        <v>0</v>
      </c>
      <c r="K95" s="24">
        <f t="shared" si="24"/>
        <v>0</v>
      </c>
      <c r="L95" s="24">
        <f t="shared" si="25"/>
        <v>0</v>
      </c>
      <c r="M95" s="24">
        <v>2.9569999999999999E-2</v>
      </c>
      <c r="N95" s="46">
        <f>H95*95</f>
        <v>95</v>
      </c>
      <c r="O95" s="5"/>
      <c r="Z95" s="37">
        <f t="shared" si="26"/>
        <v>0</v>
      </c>
      <c r="AB95" s="37">
        <f t="shared" si="27"/>
        <v>0</v>
      </c>
      <c r="AC95" s="37">
        <f t="shared" si="28"/>
        <v>0</v>
      </c>
      <c r="AD95" s="37">
        <f t="shared" si="29"/>
        <v>0</v>
      </c>
      <c r="AE95" s="37">
        <f t="shared" si="30"/>
        <v>0</v>
      </c>
      <c r="AF95" s="37">
        <f t="shared" si="31"/>
        <v>0</v>
      </c>
      <c r="AG95" s="37">
        <f t="shared" si="32"/>
        <v>0</v>
      </c>
      <c r="AH95" s="37">
        <f t="shared" si="33"/>
        <v>0</v>
      </c>
      <c r="AI95" s="35"/>
      <c r="AJ95" s="24">
        <f t="shared" si="34"/>
        <v>0</v>
      </c>
      <c r="AK95" s="24">
        <f t="shared" si="35"/>
        <v>0</v>
      </c>
      <c r="AL95" s="24">
        <f t="shared" si="36"/>
        <v>0</v>
      </c>
      <c r="AN95" s="37">
        <v>21</v>
      </c>
      <c r="AO95" s="37">
        <f>I95*0.571030680728667</f>
        <v>0</v>
      </c>
      <c r="AP95" s="37">
        <f>I95*(1-0.571030680728667)</f>
        <v>0</v>
      </c>
      <c r="AQ95" s="38" t="s">
        <v>7</v>
      </c>
      <c r="AV95" s="37">
        <f t="shared" si="37"/>
        <v>0</v>
      </c>
      <c r="AW95" s="37">
        <f t="shared" si="38"/>
        <v>0</v>
      </c>
      <c r="AX95" s="37">
        <f t="shared" si="39"/>
        <v>0</v>
      </c>
      <c r="AY95" s="40" t="s">
        <v>1207</v>
      </c>
      <c r="AZ95" s="40" t="s">
        <v>1253</v>
      </c>
      <c r="BA95" s="35" t="s">
        <v>1262</v>
      </c>
      <c r="BC95" s="37">
        <f t="shared" si="40"/>
        <v>0</v>
      </c>
      <c r="BD95" s="37">
        <f t="shared" si="41"/>
        <v>0</v>
      </c>
      <c r="BE95" s="37">
        <v>0</v>
      </c>
      <c r="BF95" s="37">
        <f t="shared" si="42"/>
        <v>95</v>
      </c>
      <c r="BH95" s="24">
        <f t="shared" si="43"/>
        <v>0</v>
      </c>
      <c r="BI95" s="24">
        <f t="shared" si="44"/>
        <v>0</v>
      </c>
      <c r="BJ95" s="24">
        <f t="shared" si="45"/>
        <v>0</v>
      </c>
      <c r="BK95" s="24" t="s">
        <v>1267</v>
      </c>
      <c r="BL95" s="37">
        <v>64</v>
      </c>
    </row>
    <row r="96" spans="1:64" x14ac:dyDescent="0.25">
      <c r="A96" s="4" t="s">
        <v>50</v>
      </c>
      <c r="B96" s="14" t="s">
        <v>387</v>
      </c>
      <c r="C96" s="130" t="s">
        <v>773</v>
      </c>
      <c r="D96" s="131"/>
      <c r="E96" s="131"/>
      <c r="F96" s="131"/>
      <c r="G96" s="14" t="s">
        <v>1170</v>
      </c>
      <c r="H96" s="24">
        <v>1</v>
      </c>
      <c r="I96" s="24">
        <v>0</v>
      </c>
      <c r="J96" s="24">
        <f t="shared" si="23"/>
        <v>0</v>
      </c>
      <c r="K96" s="24">
        <f t="shared" si="24"/>
        <v>0</v>
      </c>
      <c r="L96" s="24">
        <f t="shared" si="25"/>
        <v>0</v>
      </c>
      <c r="M96" s="24">
        <v>2.5159999999999998E-2</v>
      </c>
      <c r="N96" s="46">
        <f>H96*96</f>
        <v>96</v>
      </c>
      <c r="O96" s="5"/>
      <c r="Z96" s="37">
        <f t="shared" si="26"/>
        <v>0</v>
      </c>
      <c r="AB96" s="37">
        <f t="shared" si="27"/>
        <v>0</v>
      </c>
      <c r="AC96" s="37">
        <f t="shared" si="28"/>
        <v>0</v>
      </c>
      <c r="AD96" s="37">
        <f t="shared" si="29"/>
        <v>0</v>
      </c>
      <c r="AE96" s="37">
        <f t="shared" si="30"/>
        <v>0</v>
      </c>
      <c r="AF96" s="37">
        <f t="shared" si="31"/>
        <v>0</v>
      </c>
      <c r="AG96" s="37">
        <f t="shared" si="32"/>
        <v>0</v>
      </c>
      <c r="AH96" s="37">
        <f t="shared" si="33"/>
        <v>0</v>
      </c>
      <c r="AI96" s="35"/>
      <c r="AJ96" s="24">
        <f t="shared" si="34"/>
        <v>0</v>
      </c>
      <c r="AK96" s="24">
        <f t="shared" si="35"/>
        <v>0</v>
      </c>
      <c r="AL96" s="24">
        <f t="shared" si="36"/>
        <v>0</v>
      </c>
      <c r="AN96" s="37">
        <v>21</v>
      </c>
      <c r="AO96" s="37">
        <f>I96*0.343966712898752</f>
        <v>0</v>
      </c>
      <c r="AP96" s="37">
        <f>I96*(1-0.343966712898752)</f>
        <v>0</v>
      </c>
      <c r="AQ96" s="38" t="s">
        <v>7</v>
      </c>
      <c r="AV96" s="37">
        <f t="shared" si="37"/>
        <v>0</v>
      </c>
      <c r="AW96" s="37">
        <f t="shared" si="38"/>
        <v>0</v>
      </c>
      <c r="AX96" s="37">
        <f t="shared" si="39"/>
        <v>0</v>
      </c>
      <c r="AY96" s="40" t="s">
        <v>1207</v>
      </c>
      <c r="AZ96" s="40" t="s">
        <v>1253</v>
      </c>
      <c r="BA96" s="35" t="s">
        <v>1262</v>
      </c>
      <c r="BC96" s="37">
        <f t="shared" si="40"/>
        <v>0</v>
      </c>
      <c r="BD96" s="37">
        <f t="shared" si="41"/>
        <v>0</v>
      </c>
      <c r="BE96" s="37">
        <v>0</v>
      </c>
      <c r="BF96" s="37">
        <f t="shared" si="42"/>
        <v>96</v>
      </c>
      <c r="BH96" s="24">
        <f t="shared" si="43"/>
        <v>0</v>
      </c>
      <c r="BI96" s="24">
        <f t="shared" si="44"/>
        <v>0</v>
      </c>
      <c r="BJ96" s="24">
        <f t="shared" si="45"/>
        <v>0</v>
      </c>
      <c r="BK96" s="24" t="s">
        <v>1267</v>
      </c>
      <c r="BL96" s="37">
        <v>64</v>
      </c>
    </row>
    <row r="97" spans="1:64" x14ac:dyDescent="0.25">
      <c r="A97" s="7" t="s">
        <v>51</v>
      </c>
      <c r="B97" s="16" t="s">
        <v>388</v>
      </c>
      <c r="C97" s="134" t="s">
        <v>774</v>
      </c>
      <c r="D97" s="135"/>
      <c r="E97" s="135"/>
      <c r="F97" s="135"/>
      <c r="G97" s="16" t="s">
        <v>1170</v>
      </c>
      <c r="H97" s="26">
        <v>1</v>
      </c>
      <c r="I97" s="26">
        <v>0</v>
      </c>
      <c r="J97" s="26">
        <f t="shared" si="23"/>
        <v>0</v>
      </c>
      <c r="K97" s="26">
        <f t="shared" si="24"/>
        <v>0</v>
      </c>
      <c r="L97" s="26">
        <f t="shared" si="25"/>
        <v>0</v>
      </c>
      <c r="M97" s="26">
        <v>0.03</v>
      </c>
      <c r="N97" s="48">
        <f>H97*97</f>
        <v>97</v>
      </c>
      <c r="O97" s="5"/>
      <c r="Z97" s="37">
        <f t="shared" si="26"/>
        <v>0</v>
      </c>
      <c r="AB97" s="37">
        <f t="shared" si="27"/>
        <v>0</v>
      </c>
      <c r="AC97" s="37">
        <f t="shared" si="28"/>
        <v>0</v>
      </c>
      <c r="AD97" s="37">
        <f t="shared" si="29"/>
        <v>0</v>
      </c>
      <c r="AE97" s="37">
        <f t="shared" si="30"/>
        <v>0</v>
      </c>
      <c r="AF97" s="37">
        <f t="shared" si="31"/>
        <v>0</v>
      </c>
      <c r="AG97" s="37">
        <f t="shared" si="32"/>
        <v>0</v>
      </c>
      <c r="AH97" s="37">
        <f t="shared" si="33"/>
        <v>0</v>
      </c>
      <c r="AI97" s="35"/>
      <c r="AJ97" s="26">
        <f t="shared" si="34"/>
        <v>0</v>
      </c>
      <c r="AK97" s="26">
        <f t="shared" si="35"/>
        <v>0</v>
      </c>
      <c r="AL97" s="26">
        <f t="shared" si="36"/>
        <v>0</v>
      </c>
      <c r="AN97" s="37">
        <v>21</v>
      </c>
      <c r="AO97" s="37">
        <f>I97*1</f>
        <v>0</v>
      </c>
      <c r="AP97" s="37">
        <f>I97*(1-1)</f>
        <v>0</v>
      </c>
      <c r="AQ97" s="39" t="s">
        <v>7</v>
      </c>
      <c r="AV97" s="37">
        <f t="shared" si="37"/>
        <v>0</v>
      </c>
      <c r="AW97" s="37">
        <f t="shared" si="38"/>
        <v>0</v>
      </c>
      <c r="AX97" s="37">
        <f t="shared" si="39"/>
        <v>0</v>
      </c>
      <c r="AY97" s="40" t="s">
        <v>1207</v>
      </c>
      <c r="AZ97" s="40" t="s">
        <v>1253</v>
      </c>
      <c r="BA97" s="35" t="s">
        <v>1262</v>
      </c>
      <c r="BC97" s="37">
        <f t="shared" si="40"/>
        <v>0</v>
      </c>
      <c r="BD97" s="37">
        <f t="shared" si="41"/>
        <v>0</v>
      </c>
      <c r="BE97" s="37">
        <v>0</v>
      </c>
      <c r="BF97" s="37">
        <f t="shared" si="42"/>
        <v>97</v>
      </c>
      <c r="BH97" s="26">
        <f t="shared" si="43"/>
        <v>0</v>
      </c>
      <c r="BI97" s="26">
        <f t="shared" si="44"/>
        <v>0</v>
      </c>
      <c r="BJ97" s="26">
        <f t="shared" si="45"/>
        <v>0</v>
      </c>
      <c r="BK97" s="26" t="s">
        <v>1268</v>
      </c>
      <c r="BL97" s="37">
        <v>64</v>
      </c>
    </row>
    <row r="98" spans="1:64" x14ac:dyDescent="0.25">
      <c r="A98" s="4" t="s">
        <v>52</v>
      </c>
      <c r="B98" s="14" t="s">
        <v>389</v>
      </c>
      <c r="C98" s="130" t="s">
        <v>775</v>
      </c>
      <c r="D98" s="131"/>
      <c r="E98" s="131"/>
      <c r="F98" s="131"/>
      <c r="G98" s="14" t="s">
        <v>1170</v>
      </c>
      <c r="H98" s="24">
        <v>1</v>
      </c>
      <c r="I98" s="24">
        <v>0</v>
      </c>
      <c r="J98" s="24">
        <f t="shared" si="23"/>
        <v>0</v>
      </c>
      <c r="K98" s="24">
        <f t="shared" si="24"/>
        <v>0</v>
      </c>
      <c r="L98" s="24">
        <f t="shared" si="25"/>
        <v>0</v>
      </c>
      <c r="M98" s="24">
        <v>0</v>
      </c>
      <c r="N98" s="46">
        <f>H98*98</f>
        <v>98</v>
      </c>
      <c r="O98" s="5"/>
      <c r="Z98" s="37">
        <f t="shared" si="26"/>
        <v>0</v>
      </c>
      <c r="AB98" s="37">
        <f t="shared" si="27"/>
        <v>0</v>
      </c>
      <c r="AC98" s="37">
        <f t="shared" si="28"/>
        <v>0</v>
      </c>
      <c r="AD98" s="37">
        <f t="shared" si="29"/>
        <v>0</v>
      </c>
      <c r="AE98" s="37">
        <f t="shared" si="30"/>
        <v>0</v>
      </c>
      <c r="AF98" s="37">
        <f t="shared" si="31"/>
        <v>0</v>
      </c>
      <c r="AG98" s="37">
        <f t="shared" si="32"/>
        <v>0</v>
      </c>
      <c r="AH98" s="37">
        <f t="shared" si="33"/>
        <v>0</v>
      </c>
      <c r="AI98" s="35"/>
      <c r="AJ98" s="24">
        <f t="shared" si="34"/>
        <v>0</v>
      </c>
      <c r="AK98" s="24">
        <f t="shared" si="35"/>
        <v>0</v>
      </c>
      <c r="AL98" s="24">
        <f t="shared" si="36"/>
        <v>0</v>
      </c>
      <c r="AN98" s="37">
        <v>21</v>
      </c>
      <c r="AO98" s="37">
        <f>I98*0</f>
        <v>0</v>
      </c>
      <c r="AP98" s="37">
        <f>I98*(1-0)</f>
        <v>0</v>
      </c>
      <c r="AQ98" s="38" t="s">
        <v>7</v>
      </c>
      <c r="AV98" s="37">
        <f t="shared" si="37"/>
        <v>0</v>
      </c>
      <c r="AW98" s="37">
        <f t="shared" si="38"/>
        <v>0</v>
      </c>
      <c r="AX98" s="37">
        <f t="shared" si="39"/>
        <v>0</v>
      </c>
      <c r="AY98" s="40" t="s">
        <v>1207</v>
      </c>
      <c r="AZ98" s="40" t="s">
        <v>1253</v>
      </c>
      <c r="BA98" s="35" t="s">
        <v>1262</v>
      </c>
      <c r="BC98" s="37">
        <f t="shared" si="40"/>
        <v>0</v>
      </c>
      <c r="BD98" s="37">
        <f t="shared" si="41"/>
        <v>0</v>
      </c>
      <c r="BE98" s="37">
        <v>0</v>
      </c>
      <c r="BF98" s="37">
        <f t="shared" si="42"/>
        <v>98</v>
      </c>
      <c r="BH98" s="24">
        <f t="shared" si="43"/>
        <v>0</v>
      </c>
      <c r="BI98" s="24">
        <f t="shared" si="44"/>
        <v>0</v>
      </c>
      <c r="BJ98" s="24">
        <f t="shared" si="45"/>
        <v>0</v>
      </c>
      <c r="BK98" s="24" t="s">
        <v>1267</v>
      </c>
      <c r="BL98" s="37">
        <v>64</v>
      </c>
    </row>
    <row r="99" spans="1:64" x14ac:dyDescent="0.25">
      <c r="A99" s="7" t="s">
        <v>53</v>
      </c>
      <c r="B99" s="16" t="s">
        <v>390</v>
      </c>
      <c r="C99" s="134" t="s">
        <v>776</v>
      </c>
      <c r="D99" s="135"/>
      <c r="E99" s="135"/>
      <c r="F99" s="135"/>
      <c r="G99" s="16" t="s">
        <v>1170</v>
      </c>
      <c r="H99" s="26">
        <v>1</v>
      </c>
      <c r="I99" s="26">
        <v>0</v>
      </c>
      <c r="J99" s="26">
        <f t="shared" si="23"/>
        <v>0</v>
      </c>
      <c r="K99" s="26">
        <f t="shared" si="24"/>
        <v>0</v>
      </c>
      <c r="L99" s="26">
        <f t="shared" si="25"/>
        <v>0</v>
      </c>
      <c r="M99" s="26">
        <v>8.0000000000000004E-4</v>
      </c>
      <c r="N99" s="48">
        <f>H99*99</f>
        <v>99</v>
      </c>
      <c r="O99" s="5"/>
      <c r="Z99" s="37">
        <f t="shared" si="26"/>
        <v>0</v>
      </c>
      <c r="AB99" s="37">
        <f t="shared" si="27"/>
        <v>0</v>
      </c>
      <c r="AC99" s="37">
        <f t="shared" si="28"/>
        <v>0</v>
      </c>
      <c r="AD99" s="37">
        <f t="shared" si="29"/>
        <v>0</v>
      </c>
      <c r="AE99" s="37">
        <f t="shared" si="30"/>
        <v>0</v>
      </c>
      <c r="AF99" s="37">
        <f t="shared" si="31"/>
        <v>0</v>
      </c>
      <c r="AG99" s="37">
        <f t="shared" si="32"/>
        <v>0</v>
      </c>
      <c r="AH99" s="37">
        <f t="shared" si="33"/>
        <v>0</v>
      </c>
      <c r="AI99" s="35"/>
      <c r="AJ99" s="26">
        <f t="shared" si="34"/>
        <v>0</v>
      </c>
      <c r="AK99" s="26">
        <f t="shared" si="35"/>
        <v>0</v>
      </c>
      <c r="AL99" s="26">
        <f t="shared" si="36"/>
        <v>0</v>
      </c>
      <c r="AN99" s="37">
        <v>21</v>
      </c>
      <c r="AO99" s="37">
        <f>I99*1</f>
        <v>0</v>
      </c>
      <c r="AP99" s="37">
        <f>I99*(1-1)</f>
        <v>0</v>
      </c>
      <c r="AQ99" s="39" t="s">
        <v>7</v>
      </c>
      <c r="AV99" s="37">
        <f t="shared" si="37"/>
        <v>0</v>
      </c>
      <c r="AW99" s="37">
        <f t="shared" si="38"/>
        <v>0</v>
      </c>
      <c r="AX99" s="37">
        <f t="shared" si="39"/>
        <v>0</v>
      </c>
      <c r="AY99" s="40" t="s">
        <v>1207</v>
      </c>
      <c r="AZ99" s="40" t="s">
        <v>1253</v>
      </c>
      <c r="BA99" s="35" t="s">
        <v>1262</v>
      </c>
      <c r="BC99" s="37">
        <f t="shared" si="40"/>
        <v>0</v>
      </c>
      <c r="BD99" s="37">
        <f t="shared" si="41"/>
        <v>0</v>
      </c>
      <c r="BE99" s="37">
        <v>0</v>
      </c>
      <c r="BF99" s="37">
        <f t="shared" si="42"/>
        <v>99</v>
      </c>
      <c r="BH99" s="26">
        <f t="shared" si="43"/>
        <v>0</v>
      </c>
      <c r="BI99" s="26">
        <f t="shared" si="44"/>
        <v>0</v>
      </c>
      <c r="BJ99" s="26">
        <f t="shared" si="45"/>
        <v>0</v>
      </c>
      <c r="BK99" s="26" t="s">
        <v>1268</v>
      </c>
      <c r="BL99" s="37">
        <v>64</v>
      </c>
    </row>
    <row r="100" spans="1:64" x14ac:dyDescent="0.25">
      <c r="A100" s="6"/>
      <c r="B100" s="15" t="s">
        <v>391</v>
      </c>
      <c r="C100" s="132" t="s">
        <v>777</v>
      </c>
      <c r="D100" s="133"/>
      <c r="E100" s="133"/>
      <c r="F100" s="133"/>
      <c r="G100" s="22" t="s">
        <v>6</v>
      </c>
      <c r="H100" s="22" t="s">
        <v>6</v>
      </c>
      <c r="I100" s="22" t="s">
        <v>6</v>
      </c>
      <c r="J100" s="43">
        <f>SUM(J101:J113)</f>
        <v>0</v>
      </c>
      <c r="K100" s="43">
        <f>SUM(K101:K113)</f>
        <v>0</v>
      </c>
      <c r="L100" s="43">
        <f>SUM(L101:L113)</f>
        <v>0</v>
      </c>
      <c r="M100" s="35"/>
      <c r="N100" s="47">
        <f>SUM(N101:N113)</f>
        <v>11646</v>
      </c>
      <c r="O100" s="5"/>
      <c r="AI100" s="35"/>
      <c r="AS100" s="43">
        <f>SUM(AJ101:AJ113)</f>
        <v>0</v>
      </c>
      <c r="AT100" s="43">
        <f>SUM(AK101:AK113)</f>
        <v>0</v>
      </c>
      <c r="AU100" s="43">
        <f>SUM(AL101:AL113)</f>
        <v>0</v>
      </c>
    </row>
    <row r="101" spans="1:64" x14ac:dyDescent="0.25">
      <c r="A101" s="4" t="s">
        <v>54</v>
      </c>
      <c r="B101" s="14" t="s">
        <v>392</v>
      </c>
      <c r="C101" s="130" t="s">
        <v>778</v>
      </c>
      <c r="D101" s="131"/>
      <c r="E101" s="131"/>
      <c r="F101" s="131"/>
      <c r="G101" s="14" t="s">
        <v>1169</v>
      </c>
      <c r="H101" s="24">
        <v>15</v>
      </c>
      <c r="I101" s="24">
        <v>0</v>
      </c>
      <c r="J101" s="24">
        <f t="shared" ref="J101:J113" si="46">H101*AO101</f>
        <v>0</v>
      </c>
      <c r="K101" s="24">
        <f t="shared" ref="K101:K113" si="47">H101*AP101</f>
        <v>0</v>
      </c>
      <c r="L101" s="24">
        <f t="shared" ref="L101:L113" si="48">H101*I101</f>
        <v>0</v>
      </c>
      <c r="M101" s="24">
        <v>0</v>
      </c>
      <c r="N101" s="46">
        <f>H101*101</f>
        <v>1515</v>
      </c>
      <c r="O101" s="5"/>
      <c r="Z101" s="37">
        <f t="shared" ref="Z101:Z113" si="49">IF(AQ101="5",BJ101,0)</f>
        <v>0</v>
      </c>
      <c r="AB101" s="37">
        <f t="shared" ref="AB101:AB113" si="50">IF(AQ101="1",BH101,0)</f>
        <v>0</v>
      </c>
      <c r="AC101" s="37">
        <f t="shared" ref="AC101:AC113" si="51">IF(AQ101="1",BI101,0)</f>
        <v>0</v>
      </c>
      <c r="AD101" s="37">
        <f t="shared" ref="AD101:AD113" si="52">IF(AQ101="7",BH101,0)</f>
        <v>0</v>
      </c>
      <c r="AE101" s="37">
        <f t="shared" ref="AE101:AE113" si="53">IF(AQ101="7",BI101,0)</f>
        <v>0</v>
      </c>
      <c r="AF101" s="37">
        <f t="shared" ref="AF101:AF113" si="54">IF(AQ101="2",BH101,0)</f>
        <v>0</v>
      </c>
      <c r="AG101" s="37">
        <f t="shared" ref="AG101:AG113" si="55">IF(AQ101="2",BI101,0)</f>
        <v>0</v>
      </c>
      <c r="AH101" s="37">
        <f t="shared" ref="AH101:AH113" si="56">IF(AQ101="0",BJ101,0)</f>
        <v>0</v>
      </c>
      <c r="AI101" s="35"/>
      <c r="AJ101" s="24">
        <f t="shared" ref="AJ101:AJ113" si="57">IF(AN101=0,L101,0)</f>
        <v>0</v>
      </c>
      <c r="AK101" s="24">
        <f t="shared" ref="AK101:AK113" si="58">IF(AN101=15,L101,0)</f>
        <v>0</v>
      </c>
      <c r="AL101" s="24">
        <f t="shared" ref="AL101:AL113" si="59">IF(AN101=21,L101,0)</f>
        <v>0</v>
      </c>
      <c r="AN101" s="37">
        <v>21</v>
      </c>
      <c r="AO101" s="37">
        <f>I101*0</f>
        <v>0</v>
      </c>
      <c r="AP101" s="37">
        <f>I101*(1-0)</f>
        <v>0</v>
      </c>
      <c r="AQ101" s="38" t="s">
        <v>13</v>
      </c>
      <c r="AV101" s="37">
        <f t="shared" ref="AV101:AV113" si="60">AW101+AX101</f>
        <v>0</v>
      </c>
      <c r="AW101" s="37">
        <f t="shared" ref="AW101:AW113" si="61">H101*AO101</f>
        <v>0</v>
      </c>
      <c r="AX101" s="37">
        <f t="shared" ref="AX101:AX113" si="62">H101*AP101</f>
        <v>0</v>
      </c>
      <c r="AY101" s="40" t="s">
        <v>1208</v>
      </c>
      <c r="AZ101" s="40" t="s">
        <v>1254</v>
      </c>
      <c r="BA101" s="35" t="s">
        <v>1262</v>
      </c>
      <c r="BC101" s="37">
        <f t="shared" ref="BC101:BC113" si="63">AW101+AX101</f>
        <v>0</v>
      </c>
      <c r="BD101" s="37">
        <f t="shared" ref="BD101:BD113" si="64">I101/(100-BE101)*100</f>
        <v>0</v>
      </c>
      <c r="BE101" s="37">
        <v>0</v>
      </c>
      <c r="BF101" s="37">
        <f t="shared" ref="BF101:BF113" si="65">N101</f>
        <v>1515</v>
      </c>
      <c r="BH101" s="24">
        <f t="shared" ref="BH101:BH113" si="66">H101*AO101</f>
        <v>0</v>
      </c>
      <c r="BI101" s="24">
        <f t="shared" ref="BI101:BI113" si="67">H101*AP101</f>
        <v>0</v>
      </c>
      <c r="BJ101" s="24">
        <f t="shared" ref="BJ101:BJ113" si="68">H101*I101</f>
        <v>0</v>
      </c>
      <c r="BK101" s="24" t="s">
        <v>1267</v>
      </c>
      <c r="BL101" s="37">
        <v>713</v>
      </c>
    </row>
    <row r="102" spans="1:64" x14ac:dyDescent="0.25">
      <c r="A102" s="4" t="s">
        <v>55</v>
      </c>
      <c r="B102" s="14" t="s">
        <v>393</v>
      </c>
      <c r="C102" s="130" t="s">
        <v>779</v>
      </c>
      <c r="D102" s="131"/>
      <c r="E102" s="131"/>
      <c r="F102" s="131"/>
      <c r="G102" s="14" t="s">
        <v>1165</v>
      </c>
      <c r="H102" s="24">
        <v>10</v>
      </c>
      <c r="I102" s="24">
        <v>0</v>
      </c>
      <c r="J102" s="24">
        <f t="shared" si="46"/>
        <v>0</v>
      </c>
      <c r="K102" s="24">
        <f t="shared" si="47"/>
        <v>0</v>
      </c>
      <c r="L102" s="24">
        <f t="shared" si="48"/>
        <v>0</v>
      </c>
      <c r="M102" s="24">
        <v>2.0000000000000002E-5</v>
      </c>
      <c r="N102" s="46">
        <f>H102*102</f>
        <v>1020</v>
      </c>
      <c r="O102" s="5"/>
      <c r="Z102" s="37">
        <f t="shared" si="49"/>
        <v>0</v>
      </c>
      <c r="AB102" s="37">
        <f t="shared" si="50"/>
        <v>0</v>
      </c>
      <c r="AC102" s="37">
        <f t="shared" si="51"/>
        <v>0</v>
      </c>
      <c r="AD102" s="37">
        <f t="shared" si="52"/>
        <v>0</v>
      </c>
      <c r="AE102" s="37">
        <f t="shared" si="53"/>
        <v>0</v>
      </c>
      <c r="AF102" s="37">
        <f t="shared" si="54"/>
        <v>0</v>
      </c>
      <c r="AG102" s="37">
        <f t="shared" si="55"/>
        <v>0</v>
      </c>
      <c r="AH102" s="37">
        <f t="shared" si="56"/>
        <v>0</v>
      </c>
      <c r="AI102" s="35"/>
      <c r="AJ102" s="24">
        <f t="shared" si="57"/>
        <v>0</v>
      </c>
      <c r="AK102" s="24">
        <f t="shared" si="58"/>
        <v>0</v>
      </c>
      <c r="AL102" s="24">
        <f t="shared" si="59"/>
        <v>0</v>
      </c>
      <c r="AN102" s="37">
        <v>21</v>
      </c>
      <c r="AO102" s="37">
        <f>I102*0.236768802228412</f>
        <v>0</v>
      </c>
      <c r="AP102" s="37">
        <f>I102*(1-0.236768802228412)</f>
        <v>0</v>
      </c>
      <c r="AQ102" s="38" t="s">
        <v>13</v>
      </c>
      <c r="AV102" s="37">
        <f t="shared" si="60"/>
        <v>0</v>
      </c>
      <c r="AW102" s="37">
        <f t="shared" si="61"/>
        <v>0</v>
      </c>
      <c r="AX102" s="37">
        <f t="shared" si="62"/>
        <v>0</v>
      </c>
      <c r="AY102" s="40" t="s">
        <v>1208</v>
      </c>
      <c r="AZ102" s="40" t="s">
        <v>1254</v>
      </c>
      <c r="BA102" s="35" t="s">
        <v>1262</v>
      </c>
      <c r="BC102" s="37">
        <f t="shared" si="63"/>
        <v>0</v>
      </c>
      <c r="BD102" s="37">
        <f t="shared" si="64"/>
        <v>0</v>
      </c>
      <c r="BE102" s="37">
        <v>0</v>
      </c>
      <c r="BF102" s="37">
        <f t="shared" si="65"/>
        <v>1020</v>
      </c>
      <c r="BH102" s="24">
        <f t="shared" si="66"/>
        <v>0</v>
      </c>
      <c r="BI102" s="24">
        <f t="shared" si="67"/>
        <v>0</v>
      </c>
      <c r="BJ102" s="24">
        <f t="shared" si="68"/>
        <v>0</v>
      </c>
      <c r="BK102" s="24" t="s">
        <v>1267</v>
      </c>
      <c r="BL102" s="37">
        <v>713</v>
      </c>
    </row>
    <row r="103" spans="1:64" x14ac:dyDescent="0.25">
      <c r="A103" s="4" t="s">
        <v>56</v>
      </c>
      <c r="B103" s="14" t="s">
        <v>394</v>
      </c>
      <c r="C103" s="130" t="s">
        <v>780</v>
      </c>
      <c r="D103" s="131"/>
      <c r="E103" s="131"/>
      <c r="F103" s="131"/>
      <c r="G103" s="14" t="s">
        <v>1165</v>
      </c>
      <c r="H103" s="24">
        <v>2</v>
      </c>
      <c r="I103" s="24">
        <v>0</v>
      </c>
      <c r="J103" s="24">
        <f t="shared" si="46"/>
        <v>0</v>
      </c>
      <c r="K103" s="24">
        <f t="shared" si="47"/>
        <v>0</v>
      </c>
      <c r="L103" s="24">
        <f t="shared" si="48"/>
        <v>0</v>
      </c>
      <c r="M103" s="24">
        <v>6.9999999999999994E-5</v>
      </c>
      <c r="N103" s="46">
        <f>H103*103</f>
        <v>206</v>
      </c>
      <c r="O103" s="5"/>
      <c r="Z103" s="37">
        <f t="shared" si="49"/>
        <v>0</v>
      </c>
      <c r="AB103" s="37">
        <f t="shared" si="50"/>
        <v>0</v>
      </c>
      <c r="AC103" s="37">
        <f t="shared" si="51"/>
        <v>0</v>
      </c>
      <c r="AD103" s="37">
        <f t="shared" si="52"/>
        <v>0</v>
      </c>
      <c r="AE103" s="37">
        <f t="shared" si="53"/>
        <v>0</v>
      </c>
      <c r="AF103" s="37">
        <f t="shared" si="54"/>
        <v>0</v>
      </c>
      <c r="AG103" s="37">
        <f t="shared" si="55"/>
        <v>0</v>
      </c>
      <c r="AH103" s="37">
        <f t="shared" si="56"/>
        <v>0</v>
      </c>
      <c r="AI103" s="35"/>
      <c r="AJ103" s="24">
        <f t="shared" si="57"/>
        <v>0</v>
      </c>
      <c r="AK103" s="24">
        <f t="shared" si="58"/>
        <v>0</v>
      </c>
      <c r="AL103" s="24">
        <f t="shared" si="59"/>
        <v>0</v>
      </c>
      <c r="AN103" s="37">
        <v>21</v>
      </c>
      <c r="AO103" s="37">
        <f>I103*0.5</f>
        <v>0</v>
      </c>
      <c r="AP103" s="37">
        <f>I103*(1-0.5)</f>
        <v>0</v>
      </c>
      <c r="AQ103" s="38" t="s">
        <v>13</v>
      </c>
      <c r="AV103" s="37">
        <f t="shared" si="60"/>
        <v>0</v>
      </c>
      <c r="AW103" s="37">
        <f t="shared" si="61"/>
        <v>0</v>
      </c>
      <c r="AX103" s="37">
        <f t="shared" si="62"/>
        <v>0</v>
      </c>
      <c r="AY103" s="40" t="s">
        <v>1208</v>
      </c>
      <c r="AZ103" s="40" t="s">
        <v>1254</v>
      </c>
      <c r="BA103" s="35" t="s">
        <v>1262</v>
      </c>
      <c r="BC103" s="37">
        <f t="shared" si="63"/>
        <v>0</v>
      </c>
      <c r="BD103" s="37">
        <f t="shared" si="64"/>
        <v>0</v>
      </c>
      <c r="BE103" s="37">
        <v>0</v>
      </c>
      <c r="BF103" s="37">
        <f t="shared" si="65"/>
        <v>206</v>
      </c>
      <c r="BH103" s="24">
        <f t="shared" si="66"/>
        <v>0</v>
      </c>
      <c r="BI103" s="24">
        <f t="shared" si="67"/>
        <v>0</v>
      </c>
      <c r="BJ103" s="24">
        <f t="shared" si="68"/>
        <v>0</v>
      </c>
      <c r="BK103" s="24" t="s">
        <v>1267</v>
      </c>
      <c r="BL103" s="37">
        <v>713</v>
      </c>
    </row>
    <row r="104" spans="1:64" x14ac:dyDescent="0.25">
      <c r="A104" s="4" t="s">
        <v>57</v>
      </c>
      <c r="B104" s="14" t="s">
        <v>395</v>
      </c>
      <c r="C104" s="130" t="s">
        <v>781</v>
      </c>
      <c r="D104" s="131"/>
      <c r="E104" s="131"/>
      <c r="F104" s="131"/>
      <c r="G104" s="14" t="s">
        <v>1165</v>
      </c>
      <c r="H104" s="24">
        <v>30</v>
      </c>
      <c r="I104" s="24">
        <v>0</v>
      </c>
      <c r="J104" s="24">
        <f t="shared" si="46"/>
        <v>0</v>
      </c>
      <c r="K104" s="24">
        <f t="shared" si="47"/>
        <v>0</v>
      </c>
      <c r="L104" s="24">
        <f t="shared" si="48"/>
        <v>0</v>
      </c>
      <c r="M104" s="24">
        <v>9.5E-4</v>
      </c>
      <c r="N104" s="46">
        <f>H104*104</f>
        <v>3120</v>
      </c>
      <c r="O104" s="5"/>
      <c r="Z104" s="37">
        <f t="shared" si="49"/>
        <v>0</v>
      </c>
      <c r="AB104" s="37">
        <f t="shared" si="50"/>
        <v>0</v>
      </c>
      <c r="AC104" s="37">
        <f t="shared" si="51"/>
        <v>0</v>
      </c>
      <c r="AD104" s="37">
        <f t="shared" si="52"/>
        <v>0</v>
      </c>
      <c r="AE104" s="37">
        <f t="shared" si="53"/>
        <v>0</v>
      </c>
      <c r="AF104" s="37">
        <f t="shared" si="54"/>
        <v>0</v>
      </c>
      <c r="AG104" s="37">
        <f t="shared" si="55"/>
        <v>0</v>
      </c>
      <c r="AH104" s="37">
        <f t="shared" si="56"/>
        <v>0</v>
      </c>
      <c r="AI104" s="35"/>
      <c r="AJ104" s="24">
        <f t="shared" si="57"/>
        <v>0</v>
      </c>
      <c r="AK104" s="24">
        <f t="shared" si="58"/>
        <v>0</v>
      </c>
      <c r="AL104" s="24">
        <f t="shared" si="59"/>
        <v>0</v>
      </c>
      <c r="AN104" s="37">
        <v>21</v>
      </c>
      <c r="AO104" s="37">
        <f>I104*0.736709920468815</f>
        <v>0</v>
      </c>
      <c r="AP104" s="37">
        <f>I104*(1-0.736709920468815)</f>
        <v>0</v>
      </c>
      <c r="AQ104" s="38" t="s">
        <v>13</v>
      </c>
      <c r="AV104" s="37">
        <f t="shared" si="60"/>
        <v>0</v>
      </c>
      <c r="AW104" s="37">
        <f t="shared" si="61"/>
        <v>0</v>
      </c>
      <c r="AX104" s="37">
        <f t="shared" si="62"/>
        <v>0</v>
      </c>
      <c r="AY104" s="40" t="s">
        <v>1208</v>
      </c>
      <c r="AZ104" s="40" t="s">
        <v>1254</v>
      </c>
      <c r="BA104" s="35" t="s">
        <v>1262</v>
      </c>
      <c r="BC104" s="37">
        <f t="shared" si="63"/>
        <v>0</v>
      </c>
      <c r="BD104" s="37">
        <f t="shared" si="64"/>
        <v>0</v>
      </c>
      <c r="BE104" s="37">
        <v>0</v>
      </c>
      <c r="BF104" s="37">
        <f t="shared" si="65"/>
        <v>3120</v>
      </c>
      <c r="BH104" s="24">
        <f t="shared" si="66"/>
        <v>0</v>
      </c>
      <c r="BI104" s="24">
        <f t="shared" si="67"/>
        <v>0</v>
      </c>
      <c r="BJ104" s="24">
        <f t="shared" si="68"/>
        <v>0</v>
      </c>
      <c r="BK104" s="24" t="s">
        <v>1267</v>
      </c>
      <c r="BL104" s="37">
        <v>713</v>
      </c>
    </row>
    <row r="105" spans="1:64" x14ac:dyDescent="0.25">
      <c r="A105" s="4" t="s">
        <v>58</v>
      </c>
      <c r="B105" s="14" t="s">
        <v>396</v>
      </c>
      <c r="C105" s="130" t="s">
        <v>782</v>
      </c>
      <c r="D105" s="131"/>
      <c r="E105" s="131"/>
      <c r="F105" s="131"/>
      <c r="G105" s="14" t="s">
        <v>1165</v>
      </c>
      <c r="H105" s="24">
        <v>1</v>
      </c>
      <c r="I105" s="24">
        <v>0</v>
      </c>
      <c r="J105" s="24">
        <f t="shared" si="46"/>
        <v>0</v>
      </c>
      <c r="K105" s="24">
        <f t="shared" si="47"/>
        <v>0</v>
      </c>
      <c r="L105" s="24">
        <f t="shared" si="48"/>
        <v>0</v>
      </c>
      <c r="M105" s="24">
        <v>8.0000000000000007E-5</v>
      </c>
      <c r="N105" s="46">
        <f>H105*105</f>
        <v>105</v>
      </c>
      <c r="O105" s="5"/>
      <c r="Z105" s="37">
        <f t="shared" si="49"/>
        <v>0</v>
      </c>
      <c r="AB105" s="37">
        <f t="shared" si="50"/>
        <v>0</v>
      </c>
      <c r="AC105" s="37">
        <f t="shared" si="51"/>
        <v>0</v>
      </c>
      <c r="AD105" s="37">
        <f t="shared" si="52"/>
        <v>0</v>
      </c>
      <c r="AE105" s="37">
        <f t="shared" si="53"/>
        <v>0</v>
      </c>
      <c r="AF105" s="37">
        <f t="shared" si="54"/>
        <v>0</v>
      </c>
      <c r="AG105" s="37">
        <f t="shared" si="55"/>
        <v>0</v>
      </c>
      <c r="AH105" s="37">
        <f t="shared" si="56"/>
        <v>0</v>
      </c>
      <c r="AI105" s="35"/>
      <c r="AJ105" s="24">
        <f t="shared" si="57"/>
        <v>0</v>
      </c>
      <c r="AK105" s="24">
        <f t="shared" si="58"/>
        <v>0</v>
      </c>
      <c r="AL105" s="24">
        <f t="shared" si="59"/>
        <v>0</v>
      </c>
      <c r="AN105" s="37">
        <v>21</v>
      </c>
      <c r="AO105" s="37">
        <f>I105*0.516393442622951</f>
        <v>0</v>
      </c>
      <c r="AP105" s="37">
        <f>I105*(1-0.516393442622951)</f>
        <v>0</v>
      </c>
      <c r="AQ105" s="38" t="s">
        <v>13</v>
      </c>
      <c r="AV105" s="37">
        <f t="shared" si="60"/>
        <v>0</v>
      </c>
      <c r="AW105" s="37">
        <f t="shared" si="61"/>
        <v>0</v>
      </c>
      <c r="AX105" s="37">
        <f t="shared" si="62"/>
        <v>0</v>
      </c>
      <c r="AY105" s="40" t="s">
        <v>1208</v>
      </c>
      <c r="AZ105" s="40" t="s">
        <v>1254</v>
      </c>
      <c r="BA105" s="35" t="s">
        <v>1262</v>
      </c>
      <c r="BC105" s="37">
        <f t="shared" si="63"/>
        <v>0</v>
      </c>
      <c r="BD105" s="37">
        <f t="shared" si="64"/>
        <v>0</v>
      </c>
      <c r="BE105" s="37">
        <v>0</v>
      </c>
      <c r="BF105" s="37">
        <f t="shared" si="65"/>
        <v>105</v>
      </c>
      <c r="BH105" s="24">
        <f t="shared" si="66"/>
        <v>0</v>
      </c>
      <c r="BI105" s="24">
        <f t="shared" si="67"/>
        <v>0</v>
      </c>
      <c r="BJ105" s="24">
        <f t="shared" si="68"/>
        <v>0</v>
      </c>
      <c r="BK105" s="24" t="s">
        <v>1267</v>
      </c>
      <c r="BL105" s="37">
        <v>713</v>
      </c>
    </row>
    <row r="106" spans="1:64" x14ac:dyDescent="0.25">
      <c r="A106" s="4" t="s">
        <v>59</v>
      </c>
      <c r="B106" s="14" t="s">
        <v>394</v>
      </c>
      <c r="C106" s="130" t="s">
        <v>783</v>
      </c>
      <c r="D106" s="131"/>
      <c r="E106" s="131"/>
      <c r="F106" s="131"/>
      <c r="G106" s="14" t="s">
        <v>1165</v>
      </c>
      <c r="H106" s="24">
        <v>6</v>
      </c>
      <c r="I106" s="24">
        <v>0</v>
      </c>
      <c r="J106" s="24">
        <f t="shared" si="46"/>
        <v>0</v>
      </c>
      <c r="K106" s="24">
        <f t="shared" si="47"/>
        <v>0</v>
      </c>
      <c r="L106" s="24">
        <f t="shared" si="48"/>
        <v>0</v>
      </c>
      <c r="M106" s="24">
        <v>6.9999999999999994E-5</v>
      </c>
      <c r="N106" s="46">
        <f>H106*106</f>
        <v>636</v>
      </c>
      <c r="O106" s="5"/>
      <c r="Z106" s="37">
        <f t="shared" si="49"/>
        <v>0</v>
      </c>
      <c r="AB106" s="37">
        <f t="shared" si="50"/>
        <v>0</v>
      </c>
      <c r="AC106" s="37">
        <f t="shared" si="51"/>
        <v>0</v>
      </c>
      <c r="AD106" s="37">
        <f t="shared" si="52"/>
        <v>0</v>
      </c>
      <c r="AE106" s="37">
        <f t="shared" si="53"/>
        <v>0</v>
      </c>
      <c r="AF106" s="37">
        <f t="shared" si="54"/>
        <v>0</v>
      </c>
      <c r="AG106" s="37">
        <f t="shared" si="55"/>
        <v>0</v>
      </c>
      <c r="AH106" s="37">
        <f t="shared" si="56"/>
        <v>0</v>
      </c>
      <c r="AI106" s="35"/>
      <c r="AJ106" s="24">
        <f t="shared" si="57"/>
        <v>0</v>
      </c>
      <c r="AK106" s="24">
        <f t="shared" si="58"/>
        <v>0</v>
      </c>
      <c r="AL106" s="24">
        <f t="shared" si="59"/>
        <v>0</v>
      </c>
      <c r="AN106" s="37">
        <v>21</v>
      </c>
      <c r="AO106" s="37">
        <f>I106*0.525179856115108</f>
        <v>0</v>
      </c>
      <c r="AP106" s="37">
        <f>I106*(1-0.525179856115108)</f>
        <v>0</v>
      </c>
      <c r="AQ106" s="38" t="s">
        <v>13</v>
      </c>
      <c r="AV106" s="37">
        <f t="shared" si="60"/>
        <v>0</v>
      </c>
      <c r="AW106" s="37">
        <f t="shared" si="61"/>
        <v>0</v>
      </c>
      <c r="AX106" s="37">
        <f t="shared" si="62"/>
        <v>0</v>
      </c>
      <c r="AY106" s="40" t="s">
        <v>1208</v>
      </c>
      <c r="AZ106" s="40" t="s">
        <v>1254</v>
      </c>
      <c r="BA106" s="35" t="s">
        <v>1262</v>
      </c>
      <c r="BC106" s="37">
        <f t="shared" si="63"/>
        <v>0</v>
      </c>
      <c r="BD106" s="37">
        <f t="shared" si="64"/>
        <v>0</v>
      </c>
      <c r="BE106" s="37">
        <v>0</v>
      </c>
      <c r="BF106" s="37">
        <f t="shared" si="65"/>
        <v>636</v>
      </c>
      <c r="BH106" s="24">
        <f t="shared" si="66"/>
        <v>0</v>
      </c>
      <c r="BI106" s="24">
        <f t="shared" si="67"/>
        <v>0</v>
      </c>
      <c r="BJ106" s="24">
        <f t="shared" si="68"/>
        <v>0</v>
      </c>
      <c r="BK106" s="24" t="s">
        <v>1267</v>
      </c>
      <c r="BL106" s="37">
        <v>713</v>
      </c>
    </row>
    <row r="107" spans="1:64" x14ac:dyDescent="0.25">
      <c r="A107" s="4" t="s">
        <v>60</v>
      </c>
      <c r="B107" s="14" t="s">
        <v>397</v>
      </c>
      <c r="C107" s="130" t="s">
        <v>784</v>
      </c>
      <c r="D107" s="131"/>
      <c r="E107" s="131"/>
      <c r="F107" s="131"/>
      <c r="G107" s="14" t="s">
        <v>1165</v>
      </c>
      <c r="H107" s="24">
        <v>2</v>
      </c>
      <c r="I107" s="24">
        <v>0</v>
      </c>
      <c r="J107" s="24">
        <f t="shared" si="46"/>
        <v>0</v>
      </c>
      <c r="K107" s="24">
        <f t="shared" si="47"/>
        <v>0</v>
      </c>
      <c r="L107" s="24">
        <f t="shared" si="48"/>
        <v>0</v>
      </c>
      <c r="M107" s="24">
        <v>1.3999999999999999E-4</v>
      </c>
      <c r="N107" s="46">
        <f>H107*107</f>
        <v>214</v>
      </c>
      <c r="O107" s="5"/>
      <c r="Z107" s="37">
        <f t="shared" si="49"/>
        <v>0</v>
      </c>
      <c r="AB107" s="37">
        <f t="shared" si="50"/>
        <v>0</v>
      </c>
      <c r="AC107" s="37">
        <f t="shared" si="51"/>
        <v>0</v>
      </c>
      <c r="AD107" s="37">
        <f t="shared" si="52"/>
        <v>0</v>
      </c>
      <c r="AE107" s="37">
        <f t="shared" si="53"/>
        <v>0</v>
      </c>
      <c r="AF107" s="37">
        <f t="shared" si="54"/>
        <v>0</v>
      </c>
      <c r="AG107" s="37">
        <f t="shared" si="55"/>
        <v>0</v>
      </c>
      <c r="AH107" s="37">
        <f t="shared" si="56"/>
        <v>0</v>
      </c>
      <c r="AI107" s="35"/>
      <c r="AJ107" s="24">
        <f t="shared" si="57"/>
        <v>0</v>
      </c>
      <c r="AK107" s="24">
        <f t="shared" si="58"/>
        <v>0</v>
      </c>
      <c r="AL107" s="24">
        <f t="shared" si="59"/>
        <v>0</v>
      </c>
      <c r="AN107" s="37">
        <v>21</v>
      </c>
      <c r="AO107" s="37">
        <f>I107*0.516923076923077</f>
        <v>0</v>
      </c>
      <c r="AP107" s="37">
        <f>I107*(1-0.516923076923077)</f>
        <v>0</v>
      </c>
      <c r="AQ107" s="38" t="s">
        <v>13</v>
      </c>
      <c r="AV107" s="37">
        <f t="shared" si="60"/>
        <v>0</v>
      </c>
      <c r="AW107" s="37">
        <f t="shared" si="61"/>
        <v>0</v>
      </c>
      <c r="AX107" s="37">
        <f t="shared" si="62"/>
        <v>0</v>
      </c>
      <c r="AY107" s="40" t="s">
        <v>1208</v>
      </c>
      <c r="AZ107" s="40" t="s">
        <v>1254</v>
      </c>
      <c r="BA107" s="35" t="s">
        <v>1262</v>
      </c>
      <c r="BC107" s="37">
        <f t="shared" si="63"/>
        <v>0</v>
      </c>
      <c r="BD107" s="37">
        <f t="shared" si="64"/>
        <v>0</v>
      </c>
      <c r="BE107" s="37">
        <v>0</v>
      </c>
      <c r="BF107" s="37">
        <f t="shared" si="65"/>
        <v>214</v>
      </c>
      <c r="BH107" s="24">
        <f t="shared" si="66"/>
        <v>0</v>
      </c>
      <c r="BI107" s="24">
        <f t="shared" si="67"/>
        <v>0</v>
      </c>
      <c r="BJ107" s="24">
        <f t="shared" si="68"/>
        <v>0</v>
      </c>
      <c r="BK107" s="24" t="s">
        <v>1267</v>
      </c>
      <c r="BL107" s="37">
        <v>713</v>
      </c>
    </row>
    <row r="108" spans="1:64" x14ac:dyDescent="0.25">
      <c r="A108" s="4" t="s">
        <v>61</v>
      </c>
      <c r="B108" s="14" t="s">
        <v>398</v>
      </c>
      <c r="C108" s="130" t="s">
        <v>785</v>
      </c>
      <c r="D108" s="131"/>
      <c r="E108" s="131"/>
      <c r="F108" s="131"/>
      <c r="G108" s="14" t="s">
        <v>1165</v>
      </c>
      <c r="H108" s="24">
        <v>6</v>
      </c>
      <c r="I108" s="24">
        <v>0</v>
      </c>
      <c r="J108" s="24">
        <f t="shared" si="46"/>
        <v>0</v>
      </c>
      <c r="K108" s="24">
        <f t="shared" si="47"/>
        <v>0</v>
      </c>
      <c r="L108" s="24">
        <f t="shared" si="48"/>
        <v>0</v>
      </c>
      <c r="M108" s="24">
        <v>1.6000000000000001E-4</v>
      </c>
      <c r="N108" s="46">
        <f>H108*108</f>
        <v>648</v>
      </c>
      <c r="O108" s="5"/>
      <c r="Z108" s="37">
        <f t="shared" si="49"/>
        <v>0</v>
      </c>
      <c r="AB108" s="37">
        <f t="shared" si="50"/>
        <v>0</v>
      </c>
      <c r="AC108" s="37">
        <f t="shared" si="51"/>
        <v>0</v>
      </c>
      <c r="AD108" s="37">
        <f t="shared" si="52"/>
        <v>0</v>
      </c>
      <c r="AE108" s="37">
        <f t="shared" si="53"/>
        <v>0</v>
      </c>
      <c r="AF108" s="37">
        <f t="shared" si="54"/>
        <v>0</v>
      </c>
      <c r="AG108" s="37">
        <f t="shared" si="55"/>
        <v>0</v>
      </c>
      <c r="AH108" s="37">
        <f t="shared" si="56"/>
        <v>0</v>
      </c>
      <c r="AI108" s="35"/>
      <c r="AJ108" s="24">
        <f t="shared" si="57"/>
        <v>0</v>
      </c>
      <c r="AK108" s="24">
        <f t="shared" si="58"/>
        <v>0</v>
      </c>
      <c r="AL108" s="24">
        <f t="shared" si="59"/>
        <v>0</v>
      </c>
      <c r="AN108" s="37">
        <v>21</v>
      </c>
      <c r="AO108" s="37">
        <f>I108*0.525373134328358</f>
        <v>0</v>
      </c>
      <c r="AP108" s="37">
        <f>I108*(1-0.525373134328358)</f>
        <v>0</v>
      </c>
      <c r="AQ108" s="38" t="s">
        <v>13</v>
      </c>
      <c r="AV108" s="37">
        <f t="shared" si="60"/>
        <v>0</v>
      </c>
      <c r="AW108" s="37">
        <f t="shared" si="61"/>
        <v>0</v>
      </c>
      <c r="AX108" s="37">
        <f t="shared" si="62"/>
        <v>0</v>
      </c>
      <c r="AY108" s="40" t="s">
        <v>1208</v>
      </c>
      <c r="AZ108" s="40" t="s">
        <v>1254</v>
      </c>
      <c r="BA108" s="35" t="s">
        <v>1262</v>
      </c>
      <c r="BC108" s="37">
        <f t="shared" si="63"/>
        <v>0</v>
      </c>
      <c r="BD108" s="37">
        <f t="shared" si="64"/>
        <v>0</v>
      </c>
      <c r="BE108" s="37">
        <v>0</v>
      </c>
      <c r="BF108" s="37">
        <f t="shared" si="65"/>
        <v>648</v>
      </c>
      <c r="BH108" s="24">
        <f t="shared" si="66"/>
        <v>0</v>
      </c>
      <c r="BI108" s="24">
        <f t="shared" si="67"/>
        <v>0</v>
      </c>
      <c r="BJ108" s="24">
        <f t="shared" si="68"/>
        <v>0</v>
      </c>
      <c r="BK108" s="24" t="s">
        <v>1267</v>
      </c>
      <c r="BL108" s="37">
        <v>713</v>
      </c>
    </row>
    <row r="109" spans="1:64" x14ac:dyDescent="0.25">
      <c r="A109" s="4" t="s">
        <v>62</v>
      </c>
      <c r="B109" s="14" t="s">
        <v>399</v>
      </c>
      <c r="C109" s="130" t="s">
        <v>786</v>
      </c>
      <c r="D109" s="131"/>
      <c r="E109" s="131"/>
      <c r="F109" s="131"/>
      <c r="G109" s="14" t="s">
        <v>1165</v>
      </c>
      <c r="H109" s="24">
        <v>12</v>
      </c>
      <c r="I109" s="24">
        <v>0</v>
      </c>
      <c r="J109" s="24">
        <f t="shared" si="46"/>
        <v>0</v>
      </c>
      <c r="K109" s="24">
        <f t="shared" si="47"/>
        <v>0</v>
      </c>
      <c r="L109" s="24">
        <f t="shared" si="48"/>
        <v>0</v>
      </c>
      <c r="M109" s="24">
        <v>2.1000000000000001E-4</v>
      </c>
      <c r="N109" s="46">
        <f>H109*109</f>
        <v>1308</v>
      </c>
      <c r="O109" s="5"/>
      <c r="Z109" s="37">
        <f t="shared" si="49"/>
        <v>0</v>
      </c>
      <c r="AB109" s="37">
        <f t="shared" si="50"/>
        <v>0</v>
      </c>
      <c r="AC109" s="37">
        <f t="shared" si="51"/>
        <v>0</v>
      </c>
      <c r="AD109" s="37">
        <f t="shared" si="52"/>
        <v>0</v>
      </c>
      <c r="AE109" s="37">
        <f t="shared" si="53"/>
        <v>0</v>
      </c>
      <c r="AF109" s="37">
        <f t="shared" si="54"/>
        <v>0</v>
      </c>
      <c r="AG109" s="37">
        <f t="shared" si="55"/>
        <v>0</v>
      </c>
      <c r="AH109" s="37">
        <f t="shared" si="56"/>
        <v>0</v>
      </c>
      <c r="AI109" s="35"/>
      <c r="AJ109" s="24">
        <f t="shared" si="57"/>
        <v>0</v>
      </c>
      <c r="AK109" s="24">
        <f t="shared" si="58"/>
        <v>0</v>
      </c>
      <c r="AL109" s="24">
        <f t="shared" si="59"/>
        <v>0</v>
      </c>
      <c r="AN109" s="37">
        <v>21</v>
      </c>
      <c r="AO109" s="37">
        <f>I109*0.521072796934866</f>
        <v>0</v>
      </c>
      <c r="AP109" s="37">
        <f>I109*(1-0.521072796934866)</f>
        <v>0</v>
      </c>
      <c r="AQ109" s="38" t="s">
        <v>13</v>
      </c>
      <c r="AV109" s="37">
        <f t="shared" si="60"/>
        <v>0</v>
      </c>
      <c r="AW109" s="37">
        <f t="shared" si="61"/>
        <v>0</v>
      </c>
      <c r="AX109" s="37">
        <f t="shared" si="62"/>
        <v>0</v>
      </c>
      <c r="AY109" s="40" t="s">
        <v>1208</v>
      </c>
      <c r="AZ109" s="40" t="s">
        <v>1254</v>
      </c>
      <c r="BA109" s="35" t="s">
        <v>1262</v>
      </c>
      <c r="BC109" s="37">
        <f t="shared" si="63"/>
        <v>0</v>
      </c>
      <c r="BD109" s="37">
        <f t="shared" si="64"/>
        <v>0</v>
      </c>
      <c r="BE109" s="37">
        <v>0</v>
      </c>
      <c r="BF109" s="37">
        <f t="shared" si="65"/>
        <v>1308</v>
      </c>
      <c r="BH109" s="24">
        <f t="shared" si="66"/>
        <v>0</v>
      </c>
      <c r="BI109" s="24">
        <f t="shared" si="67"/>
        <v>0</v>
      </c>
      <c r="BJ109" s="24">
        <f t="shared" si="68"/>
        <v>0</v>
      </c>
      <c r="BK109" s="24" t="s">
        <v>1267</v>
      </c>
      <c r="BL109" s="37">
        <v>713</v>
      </c>
    </row>
    <row r="110" spans="1:64" x14ac:dyDescent="0.25">
      <c r="A110" s="4" t="s">
        <v>63</v>
      </c>
      <c r="B110" s="14" t="s">
        <v>400</v>
      </c>
      <c r="C110" s="130" t="s">
        <v>787</v>
      </c>
      <c r="D110" s="131"/>
      <c r="E110" s="131"/>
      <c r="F110" s="131"/>
      <c r="G110" s="14" t="s">
        <v>1165</v>
      </c>
      <c r="H110" s="24">
        <v>18</v>
      </c>
      <c r="I110" s="24">
        <v>0</v>
      </c>
      <c r="J110" s="24">
        <f t="shared" si="46"/>
        <v>0</v>
      </c>
      <c r="K110" s="24">
        <f t="shared" si="47"/>
        <v>0</v>
      </c>
      <c r="L110" s="24">
        <f t="shared" si="48"/>
        <v>0</v>
      </c>
      <c r="M110" s="24">
        <v>2.4000000000000001E-4</v>
      </c>
      <c r="N110" s="46">
        <f>H110*110</f>
        <v>1980</v>
      </c>
      <c r="O110" s="5"/>
      <c r="Z110" s="37">
        <f t="shared" si="49"/>
        <v>0</v>
      </c>
      <c r="AB110" s="37">
        <f t="shared" si="50"/>
        <v>0</v>
      </c>
      <c r="AC110" s="37">
        <f t="shared" si="51"/>
        <v>0</v>
      </c>
      <c r="AD110" s="37">
        <f t="shared" si="52"/>
        <v>0</v>
      </c>
      <c r="AE110" s="37">
        <f t="shared" si="53"/>
        <v>0</v>
      </c>
      <c r="AF110" s="37">
        <f t="shared" si="54"/>
        <v>0</v>
      </c>
      <c r="AG110" s="37">
        <f t="shared" si="55"/>
        <v>0</v>
      </c>
      <c r="AH110" s="37">
        <f t="shared" si="56"/>
        <v>0</v>
      </c>
      <c r="AI110" s="35"/>
      <c r="AJ110" s="24">
        <f t="shared" si="57"/>
        <v>0</v>
      </c>
      <c r="AK110" s="24">
        <f t="shared" si="58"/>
        <v>0</v>
      </c>
      <c r="AL110" s="24">
        <f t="shared" si="59"/>
        <v>0</v>
      </c>
      <c r="AN110" s="37">
        <v>21</v>
      </c>
      <c r="AO110" s="37">
        <f>I110*0.53607188703466</f>
        <v>0</v>
      </c>
      <c r="AP110" s="37">
        <f>I110*(1-0.53607188703466)</f>
        <v>0</v>
      </c>
      <c r="AQ110" s="38" t="s">
        <v>13</v>
      </c>
      <c r="AV110" s="37">
        <f t="shared" si="60"/>
        <v>0</v>
      </c>
      <c r="AW110" s="37">
        <f t="shared" si="61"/>
        <v>0</v>
      </c>
      <c r="AX110" s="37">
        <f t="shared" si="62"/>
        <v>0</v>
      </c>
      <c r="AY110" s="40" t="s">
        <v>1208</v>
      </c>
      <c r="AZ110" s="40" t="s">
        <v>1254</v>
      </c>
      <c r="BA110" s="35" t="s">
        <v>1262</v>
      </c>
      <c r="BC110" s="37">
        <f t="shared" si="63"/>
        <v>0</v>
      </c>
      <c r="BD110" s="37">
        <f t="shared" si="64"/>
        <v>0</v>
      </c>
      <c r="BE110" s="37">
        <v>0</v>
      </c>
      <c r="BF110" s="37">
        <f t="shared" si="65"/>
        <v>1980</v>
      </c>
      <c r="BH110" s="24">
        <f t="shared" si="66"/>
        <v>0</v>
      </c>
      <c r="BI110" s="24">
        <f t="shared" si="67"/>
        <v>0</v>
      </c>
      <c r="BJ110" s="24">
        <f t="shared" si="68"/>
        <v>0</v>
      </c>
      <c r="BK110" s="24" t="s">
        <v>1267</v>
      </c>
      <c r="BL110" s="37">
        <v>713</v>
      </c>
    </row>
    <row r="111" spans="1:64" x14ac:dyDescent="0.25">
      <c r="A111" s="4" t="s">
        <v>64</v>
      </c>
      <c r="B111" s="14" t="s">
        <v>401</v>
      </c>
      <c r="C111" s="130" t="s">
        <v>788</v>
      </c>
      <c r="D111" s="131"/>
      <c r="E111" s="131"/>
      <c r="F111" s="131"/>
      <c r="G111" s="14" t="s">
        <v>1170</v>
      </c>
      <c r="H111" s="24">
        <v>3</v>
      </c>
      <c r="I111" s="24">
        <v>0</v>
      </c>
      <c r="J111" s="24">
        <f t="shared" si="46"/>
        <v>0</v>
      </c>
      <c r="K111" s="24">
        <f t="shared" si="47"/>
        <v>0</v>
      </c>
      <c r="L111" s="24">
        <f t="shared" si="48"/>
        <v>0</v>
      </c>
      <c r="M111" s="24">
        <v>1E-4</v>
      </c>
      <c r="N111" s="46">
        <f>H111*111</f>
        <v>333</v>
      </c>
      <c r="O111" s="5"/>
      <c r="Z111" s="37">
        <f t="shared" si="49"/>
        <v>0</v>
      </c>
      <c r="AB111" s="37">
        <f t="shared" si="50"/>
        <v>0</v>
      </c>
      <c r="AC111" s="37">
        <f t="shared" si="51"/>
        <v>0</v>
      </c>
      <c r="AD111" s="37">
        <f t="shared" si="52"/>
        <v>0</v>
      </c>
      <c r="AE111" s="37">
        <f t="shared" si="53"/>
        <v>0</v>
      </c>
      <c r="AF111" s="37">
        <f t="shared" si="54"/>
        <v>0</v>
      </c>
      <c r="AG111" s="37">
        <f t="shared" si="55"/>
        <v>0</v>
      </c>
      <c r="AH111" s="37">
        <f t="shared" si="56"/>
        <v>0</v>
      </c>
      <c r="AI111" s="35"/>
      <c r="AJ111" s="24">
        <f t="shared" si="57"/>
        <v>0</v>
      </c>
      <c r="AK111" s="24">
        <f t="shared" si="58"/>
        <v>0</v>
      </c>
      <c r="AL111" s="24">
        <f t="shared" si="59"/>
        <v>0</v>
      </c>
      <c r="AN111" s="37">
        <v>21</v>
      </c>
      <c r="AO111" s="37">
        <f>I111*0.771428571428571</f>
        <v>0</v>
      </c>
      <c r="AP111" s="37">
        <f>I111*(1-0.771428571428571)</f>
        <v>0</v>
      </c>
      <c r="AQ111" s="38" t="s">
        <v>13</v>
      </c>
      <c r="AV111" s="37">
        <f t="shared" si="60"/>
        <v>0</v>
      </c>
      <c r="AW111" s="37">
        <f t="shared" si="61"/>
        <v>0</v>
      </c>
      <c r="AX111" s="37">
        <f t="shared" si="62"/>
        <v>0</v>
      </c>
      <c r="AY111" s="40" t="s">
        <v>1208</v>
      </c>
      <c r="AZ111" s="40" t="s">
        <v>1254</v>
      </c>
      <c r="BA111" s="35" t="s">
        <v>1262</v>
      </c>
      <c r="BC111" s="37">
        <f t="shared" si="63"/>
        <v>0</v>
      </c>
      <c r="BD111" s="37">
        <f t="shared" si="64"/>
        <v>0</v>
      </c>
      <c r="BE111" s="37">
        <v>0</v>
      </c>
      <c r="BF111" s="37">
        <f t="shared" si="65"/>
        <v>333</v>
      </c>
      <c r="BH111" s="24">
        <f t="shared" si="66"/>
        <v>0</v>
      </c>
      <c r="BI111" s="24">
        <f t="shared" si="67"/>
        <v>0</v>
      </c>
      <c r="BJ111" s="24">
        <f t="shared" si="68"/>
        <v>0</v>
      </c>
      <c r="BK111" s="24" t="s">
        <v>1267</v>
      </c>
      <c r="BL111" s="37">
        <v>713</v>
      </c>
    </row>
    <row r="112" spans="1:64" x14ac:dyDescent="0.25">
      <c r="A112" s="4" t="s">
        <v>65</v>
      </c>
      <c r="B112" s="14" t="s">
        <v>402</v>
      </c>
      <c r="C112" s="130" t="s">
        <v>789</v>
      </c>
      <c r="D112" s="131"/>
      <c r="E112" s="131"/>
      <c r="F112" s="131"/>
      <c r="G112" s="14" t="s">
        <v>1170</v>
      </c>
      <c r="H112" s="24">
        <v>4</v>
      </c>
      <c r="I112" s="24">
        <v>0</v>
      </c>
      <c r="J112" s="24">
        <f t="shared" si="46"/>
        <v>0</v>
      </c>
      <c r="K112" s="24">
        <f t="shared" si="47"/>
        <v>0</v>
      </c>
      <c r="L112" s="24">
        <f t="shared" si="48"/>
        <v>0</v>
      </c>
      <c r="M112" s="24">
        <v>5.0000000000000002E-5</v>
      </c>
      <c r="N112" s="46">
        <f>H112*112</f>
        <v>448</v>
      </c>
      <c r="O112" s="5"/>
      <c r="Z112" s="37">
        <f t="shared" si="49"/>
        <v>0</v>
      </c>
      <c r="AB112" s="37">
        <f t="shared" si="50"/>
        <v>0</v>
      </c>
      <c r="AC112" s="37">
        <f t="shared" si="51"/>
        <v>0</v>
      </c>
      <c r="AD112" s="37">
        <f t="shared" si="52"/>
        <v>0</v>
      </c>
      <c r="AE112" s="37">
        <f t="shared" si="53"/>
        <v>0</v>
      </c>
      <c r="AF112" s="37">
        <f t="shared" si="54"/>
        <v>0</v>
      </c>
      <c r="AG112" s="37">
        <f t="shared" si="55"/>
        <v>0</v>
      </c>
      <c r="AH112" s="37">
        <f t="shared" si="56"/>
        <v>0</v>
      </c>
      <c r="AI112" s="35"/>
      <c r="AJ112" s="24">
        <f t="shared" si="57"/>
        <v>0</v>
      </c>
      <c r="AK112" s="24">
        <f t="shared" si="58"/>
        <v>0</v>
      </c>
      <c r="AL112" s="24">
        <f t="shared" si="59"/>
        <v>0</v>
      </c>
      <c r="AN112" s="37">
        <v>21</v>
      </c>
      <c r="AO112" s="37">
        <f>I112*0.701492537313433</f>
        <v>0</v>
      </c>
      <c r="AP112" s="37">
        <f>I112*(1-0.701492537313433)</f>
        <v>0</v>
      </c>
      <c r="AQ112" s="38" t="s">
        <v>13</v>
      </c>
      <c r="AV112" s="37">
        <f t="shared" si="60"/>
        <v>0</v>
      </c>
      <c r="AW112" s="37">
        <f t="shared" si="61"/>
        <v>0</v>
      </c>
      <c r="AX112" s="37">
        <f t="shared" si="62"/>
        <v>0</v>
      </c>
      <c r="AY112" s="40" t="s">
        <v>1208</v>
      </c>
      <c r="AZ112" s="40" t="s">
        <v>1254</v>
      </c>
      <c r="BA112" s="35" t="s">
        <v>1262</v>
      </c>
      <c r="BC112" s="37">
        <f t="shared" si="63"/>
        <v>0</v>
      </c>
      <c r="BD112" s="37">
        <f t="shared" si="64"/>
        <v>0</v>
      </c>
      <c r="BE112" s="37">
        <v>0</v>
      </c>
      <c r="BF112" s="37">
        <f t="shared" si="65"/>
        <v>448</v>
      </c>
      <c r="BH112" s="24">
        <f t="shared" si="66"/>
        <v>0</v>
      </c>
      <c r="BI112" s="24">
        <f t="shared" si="67"/>
        <v>0</v>
      </c>
      <c r="BJ112" s="24">
        <f t="shared" si="68"/>
        <v>0</v>
      </c>
      <c r="BK112" s="24" t="s">
        <v>1267</v>
      </c>
      <c r="BL112" s="37">
        <v>713</v>
      </c>
    </row>
    <row r="113" spans="1:64" x14ac:dyDescent="0.25">
      <c r="A113" s="4" t="s">
        <v>66</v>
      </c>
      <c r="B113" s="14" t="s">
        <v>402</v>
      </c>
      <c r="C113" s="130" t="s">
        <v>790</v>
      </c>
      <c r="D113" s="131"/>
      <c r="E113" s="131"/>
      <c r="F113" s="131"/>
      <c r="G113" s="14" t="s">
        <v>1170</v>
      </c>
      <c r="H113" s="24">
        <v>1</v>
      </c>
      <c r="I113" s="24">
        <v>0</v>
      </c>
      <c r="J113" s="24">
        <f t="shared" si="46"/>
        <v>0</v>
      </c>
      <c r="K113" s="24">
        <f t="shared" si="47"/>
        <v>0</v>
      </c>
      <c r="L113" s="24">
        <f t="shared" si="48"/>
        <v>0</v>
      </c>
      <c r="M113" s="24">
        <v>5.0000000000000002E-5</v>
      </c>
      <c r="N113" s="46">
        <f>H113*113</f>
        <v>113</v>
      </c>
      <c r="O113" s="5"/>
      <c r="Z113" s="37">
        <f t="shared" si="49"/>
        <v>0</v>
      </c>
      <c r="AB113" s="37">
        <f t="shared" si="50"/>
        <v>0</v>
      </c>
      <c r="AC113" s="37">
        <f t="shared" si="51"/>
        <v>0</v>
      </c>
      <c r="AD113" s="37">
        <f t="shared" si="52"/>
        <v>0</v>
      </c>
      <c r="AE113" s="37">
        <f t="shared" si="53"/>
        <v>0</v>
      </c>
      <c r="AF113" s="37">
        <f t="shared" si="54"/>
        <v>0</v>
      </c>
      <c r="AG113" s="37">
        <f t="shared" si="55"/>
        <v>0</v>
      </c>
      <c r="AH113" s="37">
        <f t="shared" si="56"/>
        <v>0</v>
      </c>
      <c r="AI113" s="35"/>
      <c r="AJ113" s="24">
        <f t="shared" si="57"/>
        <v>0</v>
      </c>
      <c r="AK113" s="24">
        <f t="shared" si="58"/>
        <v>0</v>
      </c>
      <c r="AL113" s="24">
        <f t="shared" si="59"/>
        <v>0</v>
      </c>
      <c r="AN113" s="37">
        <v>21</v>
      </c>
      <c r="AO113" s="37">
        <f>I113*0.784101174345077</f>
        <v>0</v>
      </c>
      <c r="AP113" s="37">
        <f>I113*(1-0.784101174345077)</f>
        <v>0</v>
      </c>
      <c r="AQ113" s="38" t="s">
        <v>13</v>
      </c>
      <c r="AV113" s="37">
        <f t="shared" si="60"/>
        <v>0</v>
      </c>
      <c r="AW113" s="37">
        <f t="shared" si="61"/>
        <v>0</v>
      </c>
      <c r="AX113" s="37">
        <f t="shared" si="62"/>
        <v>0</v>
      </c>
      <c r="AY113" s="40" t="s">
        <v>1208</v>
      </c>
      <c r="AZ113" s="40" t="s">
        <v>1254</v>
      </c>
      <c r="BA113" s="35" t="s">
        <v>1262</v>
      </c>
      <c r="BC113" s="37">
        <f t="shared" si="63"/>
        <v>0</v>
      </c>
      <c r="BD113" s="37">
        <f t="shared" si="64"/>
        <v>0</v>
      </c>
      <c r="BE113" s="37">
        <v>0</v>
      </c>
      <c r="BF113" s="37">
        <f t="shared" si="65"/>
        <v>113</v>
      </c>
      <c r="BH113" s="24">
        <f t="shared" si="66"/>
        <v>0</v>
      </c>
      <c r="BI113" s="24">
        <f t="shared" si="67"/>
        <v>0</v>
      </c>
      <c r="BJ113" s="24">
        <f t="shared" si="68"/>
        <v>0</v>
      </c>
      <c r="BK113" s="24" t="s">
        <v>1267</v>
      </c>
      <c r="BL113" s="37">
        <v>713</v>
      </c>
    </row>
    <row r="114" spans="1:64" x14ac:dyDescent="0.25">
      <c r="A114" s="6"/>
      <c r="B114" s="15" t="s">
        <v>403</v>
      </c>
      <c r="C114" s="132" t="s">
        <v>791</v>
      </c>
      <c r="D114" s="133"/>
      <c r="E114" s="133"/>
      <c r="F114" s="133"/>
      <c r="G114" s="22" t="s">
        <v>6</v>
      </c>
      <c r="H114" s="22" t="s">
        <v>6</v>
      </c>
      <c r="I114" s="22" t="s">
        <v>6</v>
      </c>
      <c r="J114" s="43">
        <f>SUM(J115:J120)</f>
        <v>0</v>
      </c>
      <c r="K114" s="43">
        <f>SUM(K115:K120)</f>
        <v>0</v>
      </c>
      <c r="L114" s="43">
        <f>SUM(L115:L120)</f>
        <v>0</v>
      </c>
      <c r="M114" s="35"/>
      <c r="N114" s="47">
        <f>SUM(N115:N120)</f>
        <v>2289</v>
      </c>
      <c r="O114" s="5"/>
      <c r="AI114" s="35"/>
      <c r="AS114" s="43">
        <f>SUM(AJ115:AJ120)</f>
        <v>0</v>
      </c>
      <c r="AT114" s="43">
        <f>SUM(AK115:AK120)</f>
        <v>0</v>
      </c>
      <c r="AU114" s="43">
        <f>SUM(AL115:AL120)</f>
        <v>0</v>
      </c>
    </row>
    <row r="115" spans="1:64" x14ac:dyDescent="0.25">
      <c r="A115" s="4" t="s">
        <v>67</v>
      </c>
      <c r="B115" s="14" t="s">
        <v>404</v>
      </c>
      <c r="C115" s="130" t="s">
        <v>792</v>
      </c>
      <c r="D115" s="131"/>
      <c r="E115" s="131"/>
      <c r="F115" s="131"/>
      <c r="G115" s="14" t="s">
        <v>1170</v>
      </c>
      <c r="H115" s="24">
        <v>1</v>
      </c>
      <c r="I115" s="24">
        <v>0</v>
      </c>
      <c r="J115" s="24">
        <f t="shared" ref="J115:J120" si="69">H115*AO115</f>
        <v>0</v>
      </c>
      <c r="K115" s="24">
        <f t="shared" ref="K115:K120" si="70">H115*AP115</f>
        <v>0</v>
      </c>
      <c r="L115" s="24">
        <f t="shared" ref="L115:L120" si="71">H115*I115</f>
        <v>0</v>
      </c>
      <c r="M115" s="24">
        <v>3.1E-4</v>
      </c>
      <c r="N115" s="46">
        <f>H115*115</f>
        <v>115</v>
      </c>
      <c r="O115" s="5"/>
      <c r="Z115" s="37">
        <f t="shared" ref="Z115:Z120" si="72">IF(AQ115="5",BJ115,0)</f>
        <v>0</v>
      </c>
      <c r="AB115" s="37">
        <f t="shared" ref="AB115:AB120" si="73">IF(AQ115="1",BH115,0)</f>
        <v>0</v>
      </c>
      <c r="AC115" s="37">
        <f t="shared" ref="AC115:AC120" si="74">IF(AQ115="1",BI115,0)</f>
        <v>0</v>
      </c>
      <c r="AD115" s="37">
        <f t="shared" ref="AD115:AD120" si="75">IF(AQ115="7",BH115,0)</f>
        <v>0</v>
      </c>
      <c r="AE115" s="37">
        <f t="shared" ref="AE115:AE120" si="76">IF(AQ115="7",BI115,0)</f>
        <v>0</v>
      </c>
      <c r="AF115" s="37">
        <f t="shared" ref="AF115:AF120" si="77">IF(AQ115="2",BH115,0)</f>
        <v>0</v>
      </c>
      <c r="AG115" s="37">
        <f t="shared" ref="AG115:AG120" si="78">IF(AQ115="2",BI115,0)</f>
        <v>0</v>
      </c>
      <c r="AH115" s="37">
        <f t="shared" ref="AH115:AH120" si="79">IF(AQ115="0",BJ115,0)</f>
        <v>0</v>
      </c>
      <c r="AI115" s="35"/>
      <c r="AJ115" s="24">
        <f t="shared" ref="AJ115:AJ120" si="80">IF(AN115=0,L115,0)</f>
        <v>0</v>
      </c>
      <c r="AK115" s="24">
        <f t="shared" ref="AK115:AK120" si="81">IF(AN115=15,L115,0)</f>
        <v>0</v>
      </c>
      <c r="AL115" s="24">
        <f t="shared" ref="AL115:AL120" si="82">IF(AN115=21,L115,0)</f>
        <v>0</v>
      </c>
      <c r="AN115" s="37">
        <v>21</v>
      </c>
      <c r="AO115" s="37">
        <f>I115*0.89135775862069</f>
        <v>0</v>
      </c>
      <c r="AP115" s="37">
        <f>I115*(1-0.89135775862069)</f>
        <v>0</v>
      </c>
      <c r="AQ115" s="38" t="s">
        <v>13</v>
      </c>
      <c r="AV115" s="37">
        <f t="shared" ref="AV115:AV120" si="83">AW115+AX115</f>
        <v>0</v>
      </c>
      <c r="AW115" s="37">
        <f t="shared" ref="AW115:AW120" si="84">H115*AO115</f>
        <v>0</v>
      </c>
      <c r="AX115" s="37">
        <f t="shared" ref="AX115:AX120" si="85">H115*AP115</f>
        <v>0</v>
      </c>
      <c r="AY115" s="40" t="s">
        <v>1209</v>
      </c>
      <c r="AZ115" s="40" t="s">
        <v>1255</v>
      </c>
      <c r="BA115" s="35" t="s">
        <v>1262</v>
      </c>
      <c r="BC115" s="37">
        <f t="shared" ref="BC115:BC120" si="86">AW115+AX115</f>
        <v>0</v>
      </c>
      <c r="BD115" s="37">
        <f t="shared" ref="BD115:BD120" si="87">I115/(100-BE115)*100</f>
        <v>0</v>
      </c>
      <c r="BE115" s="37">
        <v>0</v>
      </c>
      <c r="BF115" s="37">
        <f t="shared" ref="BF115:BF120" si="88">N115</f>
        <v>115</v>
      </c>
      <c r="BH115" s="24">
        <f t="shared" ref="BH115:BH120" si="89">H115*AO115</f>
        <v>0</v>
      </c>
      <c r="BI115" s="24">
        <f t="shared" ref="BI115:BI120" si="90">H115*AP115</f>
        <v>0</v>
      </c>
      <c r="BJ115" s="24">
        <f t="shared" ref="BJ115:BJ120" si="91">H115*I115</f>
        <v>0</v>
      </c>
      <c r="BK115" s="24" t="s">
        <v>1267</v>
      </c>
      <c r="BL115" s="37">
        <v>721</v>
      </c>
    </row>
    <row r="116" spans="1:64" x14ac:dyDescent="0.25">
      <c r="A116" s="4" t="s">
        <v>68</v>
      </c>
      <c r="B116" s="14" t="s">
        <v>405</v>
      </c>
      <c r="C116" s="130" t="s">
        <v>793</v>
      </c>
      <c r="D116" s="131"/>
      <c r="E116" s="131"/>
      <c r="F116" s="131"/>
      <c r="G116" s="14" t="s">
        <v>1165</v>
      </c>
      <c r="H116" s="24">
        <v>2.5</v>
      </c>
      <c r="I116" s="24">
        <v>0</v>
      </c>
      <c r="J116" s="24">
        <f t="shared" si="69"/>
        <v>0</v>
      </c>
      <c r="K116" s="24">
        <f t="shared" si="70"/>
        <v>0</v>
      </c>
      <c r="L116" s="24">
        <f t="shared" si="71"/>
        <v>0</v>
      </c>
      <c r="M116" s="24">
        <v>3.4000000000000002E-4</v>
      </c>
      <c r="N116" s="46">
        <f>H116*116</f>
        <v>290</v>
      </c>
      <c r="O116" s="5"/>
      <c r="Z116" s="37">
        <f t="shared" si="72"/>
        <v>0</v>
      </c>
      <c r="AB116" s="37">
        <f t="shared" si="73"/>
        <v>0</v>
      </c>
      <c r="AC116" s="37">
        <f t="shared" si="74"/>
        <v>0</v>
      </c>
      <c r="AD116" s="37">
        <f t="shared" si="75"/>
        <v>0</v>
      </c>
      <c r="AE116" s="37">
        <f t="shared" si="76"/>
        <v>0</v>
      </c>
      <c r="AF116" s="37">
        <f t="shared" si="77"/>
        <v>0</v>
      </c>
      <c r="AG116" s="37">
        <f t="shared" si="78"/>
        <v>0</v>
      </c>
      <c r="AH116" s="37">
        <f t="shared" si="79"/>
        <v>0</v>
      </c>
      <c r="AI116" s="35"/>
      <c r="AJ116" s="24">
        <f t="shared" si="80"/>
        <v>0</v>
      </c>
      <c r="AK116" s="24">
        <f t="shared" si="81"/>
        <v>0</v>
      </c>
      <c r="AL116" s="24">
        <f t="shared" si="82"/>
        <v>0</v>
      </c>
      <c r="AN116" s="37">
        <v>21</v>
      </c>
      <c r="AO116" s="37">
        <f>I116*0.410051169590643</f>
        <v>0</v>
      </c>
      <c r="AP116" s="37">
        <f>I116*(1-0.410051169590643)</f>
        <v>0</v>
      </c>
      <c r="AQ116" s="38" t="s">
        <v>13</v>
      </c>
      <c r="AV116" s="37">
        <f t="shared" si="83"/>
        <v>0</v>
      </c>
      <c r="AW116" s="37">
        <f t="shared" si="84"/>
        <v>0</v>
      </c>
      <c r="AX116" s="37">
        <f t="shared" si="85"/>
        <v>0</v>
      </c>
      <c r="AY116" s="40" t="s">
        <v>1209</v>
      </c>
      <c r="AZ116" s="40" t="s">
        <v>1255</v>
      </c>
      <c r="BA116" s="35" t="s">
        <v>1262</v>
      </c>
      <c r="BC116" s="37">
        <f t="shared" si="86"/>
        <v>0</v>
      </c>
      <c r="BD116" s="37">
        <f t="shared" si="87"/>
        <v>0</v>
      </c>
      <c r="BE116" s="37">
        <v>0</v>
      </c>
      <c r="BF116" s="37">
        <f t="shared" si="88"/>
        <v>290</v>
      </c>
      <c r="BH116" s="24">
        <f t="shared" si="89"/>
        <v>0</v>
      </c>
      <c r="BI116" s="24">
        <f t="shared" si="90"/>
        <v>0</v>
      </c>
      <c r="BJ116" s="24">
        <f t="shared" si="91"/>
        <v>0</v>
      </c>
      <c r="BK116" s="24" t="s">
        <v>1267</v>
      </c>
      <c r="BL116" s="37">
        <v>721</v>
      </c>
    </row>
    <row r="117" spans="1:64" x14ac:dyDescent="0.25">
      <c r="A117" s="4" t="s">
        <v>69</v>
      </c>
      <c r="B117" s="14" t="s">
        <v>406</v>
      </c>
      <c r="C117" s="130" t="s">
        <v>794</v>
      </c>
      <c r="D117" s="131"/>
      <c r="E117" s="131"/>
      <c r="F117" s="131"/>
      <c r="G117" s="14" t="s">
        <v>1165</v>
      </c>
      <c r="H117" s="24">
        <v>7</v>
      </c>
      <c r="I117" s="24">
        <v>0</v>
      </c>
      <c r="J117" s="24">
        <f t="shared" si="69"/>
        <v>0</v>
      </c>
      <c r="K117" s="24">
        <f t="shared" si="70"/>
        <v>0</v>
      </c>
      <c r="L117" s="24">
        <f t="shared" si="71"/>
        <v>0</v>
      </c>
      <c r="M117" s="24">
        <v>4.4000000000000002E-4</v>
      </c>
      <c r="N117" s="46">
        <f>H117*117</f>
        <v>819</v>
      </c>
      <c r="O117" s="5"/>
      <c r="Z117" s="37">
        <f t="shared" si="72"/>
        <v>0</v>
      </c>
      <c r="AB117" s="37">
        <f t="shared" si="73"/>
        <v>0</v>
      </c>
      <c r="AC117" s="37">
        <f t="shared" si="74"/>
        <v>0</v>
      </c>
      <c r="AD117" s="37">
        <f t="shared" si="75"/>
        <v>0</v>
      </c>
      <c r="AE117" s="37">
        <f t="shared" si="76"/>
        <v>0</v>
      </c>
      <c r="AF117" s="37">
        <f t="shared" si="77"/>
        <v>0</v>
      </c>
      <c r="AG117" s="37">
        <f t="shared" si="78"/>
        <v>0</v>
      </c>
      <c r="AH117" s="37">
        <f t="shared" si="79"/>
        <v>0</v>
      </c>
      <c r="AI117" s="35"/>
      <c r="AJ117" s="24">
        <f t="shared" si="80"/>
        <v>0</v>
      </c>
      <c r="AK117" s="24">
        <f t="shared" si="81"/>
        <v>0</v>
      </c>
      <c r="AL117" s="24">
        <f t="shared" si="82"/>
        <v>0</v>
      </c>
      <c r="AN117" s="37">
        <v>21</v>
      </c>
      <c r="AO117" s="37">
        <f>I117*0.246351931330472</f>
        <v>0</v>
      </c>
      <c r="AP117" s="37">
        <f>I117*(1-0.246351931330472)</f>
        <v>0</v>
      </c>
      <c r="AQ117" s="38" t="s">
        <v>13</v>
      </c>
      <c r="AV117" s="37">
        <f t="shared" si="83"/>
        <v>0</v>
      </c>
      <c r="AW117" s="37">
        <f t="shared" si="84"/>
        <v>0</v>
      </c>
      <c r="AX117" s="37">
        <f t="shared" si="85"/>
        <v>0</v>
      </c>
      <c r="AY117" s="40" t="s">
        <v>1209</v>
      </c>
      <c r="AZ117" s="40" t="s">
        <v>1255</v>
      </c>
      <c r="BA117" s="35" t="s">
        <v>1262</v>
      </c>
      <c r="BC117" s="37">
        <f t="shared" si="86"/>
        <v>0</v>
      </c>
      <c r="BD117" s="37">
        <f t="shared" si="87"/>
        <v>0</v>
      </c>
      <c r="BE117" s="37">
        <v>0</v>
      </c>
      <c r="BF117" s="37">
        <f t="shared" si="88"/>
        <v>819</v>
      </c>
      <c r="BH117" s="24">
        <f t="shared" si="89"/>
        <v>0</v>
      </c>
      <c r="BI117" s="24">
        <f t="shared" si="90"/>
        <v>0</v>
      </c>
      <c r="BJ117" s="24">
        <f t="shared" si="91"/>
        <v>0</v>
      </c>
      <c r="BK117" s="24" t="s">
        <v>1267</v>
      </c>
      <c r="BL117" s="37">
        <v>721</v>
      </c>
    </row>
    <row r="118" spans="1:64" x14ac:dyDescent="0.25">
      <c r="A118" s="4" t="s">
        <v>70</v>
      </c>
      <c r="B118" s="14" t="s">
        <v>407</v>
      </c>
      <c r="C118" s="130" t="s">
        <v>795</v>
      </c>
      <c r="D118" s="131"/>
      <c r="E118" s="131"/>
      <c r="F118" s="131"/>
      <c r="G118" s="14" t="s">
        <v>1165</v>
      </c>
      <c r="H118" s="24">
        <v>7</v>
      </c>
      <c r="I118" s="24">
        <v>0</v>
      </c>
      <c r="J118" s="24">
        <f t="shared" si="69"/>
        <v>0</v>
      </c>
      <c r="K118" s="24">
        <f t="shared" si="70"/>
        <v>0</v>
      </c>
      <c r="L118" s="24">
        <f t="shared" si="71"/>
        <v>0</v>
      </c>
      <c r="M118" s="24">
        <v>4.6999999999999999E-4</v>
      </c>
      <c r="N118" s="46">
        <f>H118*118</f>
        <v>826</v>
      </c>
      <c r="O118" s="5"/>
      <c r="Z118" s="37">
        <f t="shared" si="72"/>
        <v>0</v>
      </c>
      <c r="AB118" s="37">
        <f t="shared" si="73"/>
        <v>0</v>
      </c>
      <c r="AC118" s="37">
        <f t="shared" si="74"/>
        <v>0</v>
      </c>
      <c r="AD118" s="37">
        <f t="shared" si="75"/>
        <v>0</v>
      </c>
      <c r="AE118" s="37">
        <f t="shared" si="76"/>
        <v>0</v>
      </c>
      <c r="AF118" s="37">
        <f t="shared" si="77"/>
        <v>0</v>
      </c>
      <c r="AG118" s="37">
        <f t="shared" si="78"/>
        <v>0</v>
      </c>
      <c r="AH118" s="37">
        <f t="shared" si="79"/>
        <v>0</v>
      </c>
      <c r="AI118" s="35"/>
      <c r="AJ118" s="24">
        <f t="shared" si="80"/>
        <v>0</v>
      </c>
      <c r="AK118" s="24">
        <f t="shared" si="81"/>
        <v>0</v>
      </c>
      <c r="AL118" s="24">
        <f t="shared" si="82"/>
        <v>0</v>
      </c>
      <c r="AN118" s="37">
        <v>21</v>
      </c>
      <c r="AO118" s="37">
        <f>I118*0.351362007168459</f>
        <v>0</v>
      </c>
      <c r="AP118" s="37">
        <f>I118*(1-0.351362007168459)</f>
        <v>0</v>
      </c>
      <c r="AQ118" s="38" t="s">
        <v>13</v>
      </c>
      <c r="AV118" s="37">
        <f t="shared" si="83"/>
        <v>0</v>
      </c>
      <c r="AW118" s="37">
        <f t="shared" si="84"/>
        <v>0</v>
      </c>
      <c r="AX118" s="37">
        <f t="shared" si="85"/>
        <v>0</v>
      </c>
      <c r="AY118" s="40" t="s">
        <v>1209</v>
      </c>
      <c r="AZ118" s="40" t="s">
        <v>1255</v>
      </c>
      <c r="BA118" s="35" t="s">
        <v>1262</v>
      </c>
      <c r="BC118" s="37">
        <f t="shared" si="86"/>
        <v>0</v>
      </c>
      <c r="BD118" s="37">
        <f t="shared" si="87"/>
        <v>0</v>
      </c>
      <c r="BE118" s="37">
        <v>0</v>
      </c>
      <c r="BF118" s="37">
        <f t="shared" si="88"/>
        <v>826</v>
      </c>
      <c r="BH118" s="24">
        <f t="shared" si="89"/>
        <v>0</v>
      </c>
      <c r="BI118" s="24">
        <f t="shared" si="90"/>
        <v>0</v>
      </c>
      <c r="BJ118" s="24">
        <f t="shared" si="91"/>
        <v>0</v>
      </c>
      <c r="BK118" s="24" t="s">
        <v>1267</v>
      </c>
      <c r="BL118" s="37">
        <v>721</v>
      </c>
    </row>
    <row r="119" spans="1:64" x14ac:dyDescent="0.25">
      <c r="A119" s="4" t="s">
        <v>71</v>
      </c>
      <c r="B119" s="14" t="s">
        <v>408</v>
      </c>
      <c r="C119" s="130" t="s">
        <v>796</v>
      </c>
      <c r="D119" s="131"/>
      <c r="E119" s="131"/>
      <c r="F119" s="131"/>
      <c r="G119" s="14" t="s">
        <v>1170</v>
      </c>
      <c r="H119" s="24">
        <v>1</v>
      </c>
      <c r="I119" s="24">
        <v>0</v>
      </c>
      <c r="J119" s="24">
        <f t="shared" si="69"/>
        <v>0</v>
      </c>
      <c r="K119" s="24">
        <f t="shared" si="70"/>
        <v>0</v>
      </c>
      <c r="L119" s="24">
        <f t="shared" si="71"/>
        <v>0</v>
      </c>
      <c r="M119" s="24">
        <v>2.2000000000000001E-4</v>
      </c>
      <c r="N119" s="46">
        <f>H119*119</f>
        <v>119</v>
      </c>
      <c r="O119" s="5"/>
      <c r="Z119" s="37">
        <f t="shared" si="72"/>
        <v>0</v>
      </c>
      <c r="AB119" s="37">
        <f t="shared" si="73"/>
        <v>0</v>
      </c>
      <c r="AC119" s="37">
        <f t="shared" si="74"/>
        <v>0</v>
      </c>
      <c r="AD119" s="37">
        <f t="shared" si="75"/>
        <v>0</v>
      </c>
      <c r="AE119" s="37">
        <f t="shared" si="76"/>
        <v>0</v>
      </c>
      <c r="AF119" s="37">
        <f t="shared" si="77"/>
        <v>0</v>
      </c>
      <c r="AG119" s="37">
        <f t="shared" si="78"/>
        <v>0</v>
      </c>
      <c r="AH119" s="37">
        <f t="shared" si="79"/>
        <v>0</v>
      </c>
      <c r="AI119" s="35"/>
      <c r="AJ119" s="24">
        <f t="shared" si="80"/>
        <v>0</v>
      </c>
      <c r="AK119" s="24">
        <f t="shared" si="81"/>
        <v>0</v>
      </c>
      <c r="AL119" s="24">
        <f t="shared" si="82"/>
        <v>0</v>
      </c>
      <c r="AN119" s="37">
        <v>21</v>
      </c>
      <c r="AO119" s="37">
        <f>I119*0.218169934640523</f>
        <v>0</v>
      </c>
      <c r="AP119" s="37">
        <f>I119*(1-0.218169934640523)</f>
        <v>0</v>
      </c>
      <c r="AQ119" s="38" t="s">
        <v>13</v>
      </c>
      <c r="AV119" s="37">
        <f t="shared" si="83"/>
        <v>0</v>
      </c>
      <c r="AW119" s="37">
        <f t="shared" si="84"/>
        <v>0</v>
      </c>
      <c r="AX119" s="37">
        <f t="shared" si="85"/>
        <v>0</v>
      </c>
      <c r="AY119" s="40" t="s">
        <v>1209</v>
      </c>
      <c r="AZ119" s="40" t="s">
        <v>1255</v>
      </c>
      <c r="BA119" s="35" t="s">
        <v>1262</v>
      </c>
      <c r="BC119" s="37">
        <f t="shared" si="86"/>
        <v>0</v>
      </c>
      <c r="BD119" s="37">
        <f t="shared" si="87"/>
        <v>0</v>
      </c>
      <c r="BE119" s="37">
        <v>0</v>
      </c>
      <c r="BF119" s="37">
        <f t="shared" si="88"/>
        <v>119</v>
      </c>
      <c r="BH119" s="24">
        <f t="shared" si="89"/>
        <v>0</v>
      </c>
      <c r="BI119" s="24">
        <f t="shared" si="90"/>
        <v>0</v>
      </c>
      <c r="BJ119" s="24">
        <f t="shared" si="91"/>
        <v>0</v>
      </c>
      <c r="BK119" s="24" t="s">
        <v>1267</v>
      </c>
      <c r="BL119" s="37">
        <v>721</v>
      </c>
    </row>
    <row r="120" spans="1:64" x14ac:dyDescent="0.25">
      <c r="A120" s="7" t="s">
        <v>72</v>
      </c>
      <c r="B120" s="16" t="s">
        <v>409</v>
      </c>
      <c r="C120" s="134" t="s">
        <v>797</v>
      </c>
      <c r="D120" s="135"/>
      <c r="E120" s="135"/>
      <c r="F120" s="135"/>
      <c r="G120" s="16" t="s">
        <v>1170</v>
      </c>
      <c r="H120" s="26">
        <v>1</v>
      </c>
      <c r="I120" s="26">
        <v>0</v>
      </c>
      <c r="J120" s="26">
        <f t="shared" si="69"/>
        <v>0</v>
      </c>
      <c r="K120" s="26">
        <f t="shared" si="70"/>
        <v>0</v>
      </c>
      <c r="L120" s="26">
        <f t="shared" si="71"/>
        <v>0</v>
      </c>
      <c r="M120" s="26">
        <v>0</v>
      </c>
      <c r="N120" s="48">
        <f>H120*120</f>
        <v>120</v>
      </c>
      <c r="O120" s="5"/>
      <c r="Z120" s="37">
        <f t="shared" si="72"/>
        <v>0</v>
      </c>
      <c r="AB120" s="37">
        <f t="shared" si="73"/>
        <v>0</v>
      </c>
      <c r="AC120" s="37">
        <f t="shared" si="74"/>
        <v>0</v>
      </c>
      <c r="AD120" s="37">
        <f t="shared" si="75"/>
        <v>0</v>
      </c>
      <c r="AE120" s="37">
        <f t="shared" si="76"/>
        <v>0</v>
      </c>
      <c r="AF120" s="37">
        <f t="shared" si="77"/>
        <v>0</v>
      </c>
      <c r="AG120" s="37">
        <f t="shared" si="78"/>
        <v>0</v>
      </c>
      <c r="AH120" s="37">
        <f t="shared" si="79"/>
        <v>0</v>
      </c>
      <c r="AI120" s="35"/>
      <c r="AJ120" s="26">
        <f t="shared" si="80"/>
        <v>0</v>
      </c>
      <c r="AK120" s="26">
        <f t="shared" si="81"/>
        <v>0</v>
      </c>
      <c r="AL120" s="26">
        <f t="shared" si="82"/>
        <v>0</v>
      </c>
      <c r="AN120" s="37">
        <v>21</v>
      </c>
      <c r="AO120" s="37">
        <f>I120*1</f>
        <v>0</v>
      </c>
      <c r="AP120" s="37">
        <f>I120*(1-1)</f>
        <v>0</v>
      </c>
      <c r="AQ120" s="39" t="s">
        <v>13</v>
      </c>
      <c r="AV120" s="37">
        <f t="shared" si="83"/>
        <v>0</v>
      </c>
      <c r="AW120" s="37">
        <f t="shared" si="84"/>
        <v>0</v>
      </c>
      <c r="AX120" s="37">
        <f t="shared" si="85"/>
        <v>0</v>
      </c>
      <c r="AY120" s="40" t="s">
        <v>1209</v>
      </c>
      <c r="AZ120" s="40" t="s">
        <v>1255</v>
      </c>
      <c r="BA120" s="35" t="s">
        <v>1262</v>
      </c>
      <c r="BC120" s="37">
        <f t="shared" si="86"/>
        <v>0</v>
      </c>
      <c r="BD120" s="37">
        <f t="shared" si="87"/>
        <v>0</v>
      </c>
      <c r="BE120" s="37">
        <v>0</v>
      </c>
      <c r="BF120" s="37">
        <f t="shared" si="88"/>
        <v>120</v>
      </c>
      <c r="BH120" s="26">
        <f t="shared" si="89"/>
        <v>0</v>
      </c>
      <c r="BI120" s="26">
        <f t="shared" si="90"/>
        <v>0</v>
      </c>
      <c r="BJ120" s="26">
        <f t="shared" si="91"/>
        <v>0</v>
      </c>
      <c r="BK120" s="26" t="s">
        <v>1268</v>
      </c>
      <c r="BL120" s="37">
        <v>721</v>
      </c>
    </row>
    <row r="121" spans="1:64" x14ac:dyDescent="0.25">
      <c r="A121" s="6"/>
      <c r="B121" s="15" t="s">
        <v>410</v>
      </c>
      <c r="C121" s="132" t="s">
        <v>798</v>
      </c>
      <c r="D121" s="133"/>
      <c r="E121" s="133"/>
      <c r="F121" s="133"/>
      <c r="G121" s="22" t="s">
        <v>6</v>
      </c>
      <c r="H121" s="22" t="s">
        <v>6</v>
      </c>
      <c r="I121" s="22" t="s">
        <v>6</v>
      </c>
      <c r="J121" s="43">
        <f>SUM(J122:J133)</f>
        <v>0</v>
      </c>
      <c r="K121" s="43">
        <f>SUM(K122:K133)</f>
        <v>0</v>
      </c>
      <c r="L121" s="43">
        <f>SUM(L122:L133)</f>
        <v>0</v>
      </c>
      <c r="M121" s="35"/>
      <c r="N121" s="47">
        <f>SUM(N122:N133)</f>
        <v>6128</v>
      </c>
      <c r="O121" s="5"/>
      <c r="AI121" s="35"/>
      <c r="AS121" s="43">
        <f>SUM(AJ122:AJ133)</f>
        <v>0</v>
      </c>
      <c r="AT121" s="43">
        <f>SUM(AK122:AK133)</f>
        <v>0</v>
      </c>
      <c r="AU121" s="43">
        <f>SUM(AL122:AL133)</f>
        <v>0</v>
      </c>
    </row>
    <row r="122" spans="1:64" x14ac:dyDescent="0.25">
      <c r="A122" s="4" t="s">
        <v>73</v>
      </c>
      <c r="B122" s="14" t="s">
        <v>411</v>
      </c>
      <c r="C122" s="130" t="s">
        <v>799</v>
      </c>
      <c r="D122" s="131"/>
      <c r="E122" s="131"/>
      <c r="F122" s="131"/>
      <c r="G122" s="14" t="s">
        <v>1170</v>
      </c>
      <c r="H122" s="24">
        <v>3</v>
      </c>
      <c r="I122" s="24">
        <v>0</v>
      </c>
      <c r="J122" s="24">
        <f t="shared" ref="J122:J133" si="92">H122*AO122</f>
        <v>0</v>
      </c>
      <c r="K122" s="24">
        <f t="shared" ref="K122:K133" si="93">H122*AP122</f>
        <v>0</v>
      </c>
      <c r="L122" s="24">
        <f t="shared" ref="L122:L133" si="94">H122*I122</f>
        <v>0</v>
      </c>
      <c r="M122" s="24">
        <v>1E-4</v>
      </c>
      <c r="N122" s="46">
        <f>H122*122</f>
        <v>366</v>
      </c>
      <c r="O122" s="5"/>
      <c r="Z122" s="37">
        <f t="shared" ref="Z122:Z133" si="95">IF(AQ122="5",BJ122,0)</f>
        <v>0</v>
      </c>
      <c r="AB122" s="37">
        <f t="shared" ref="AB122:AB133" si="96">IF(AQ122="1",BH122,0)</f>
        <v>0</v>
      </c>
      <c r="AC122" s="37">
        <f t="shared" ref="AC122:AC133" si="97">IF(AQ122="1",BI122,0)</f>
        <v>0</v>
      </c>
      <c r="AD122" s="37">
        <f t="shared" ref="AD122:AD133" si="98">IF(AQ122="7",BH122,0)</f>
        <v>0</v>
      </c>
      <c r="AE122" s="37">
        <f t="shared" ref="AE122:AE133" si="99">IF(AQ122="7",BI122,0)</f>
        <v>0</v>
      </c>
      <c r="AF122" s="37">
        <f t="shared" ref="AF122:AF133" si="100">IF(AQ122="2",BH122,0)</f>
        <v>0</v>
      </c>
      <c r="AG122" s="37">
        <f t="shared" ref="AG122:AG133" si="101">IF(AQ122="2",BI122,0)</f>
        <v>0</v>
      </c>
      <c r="AH122" s="37">
        <f t="shared" ref="AH122:AH133" si="102">IF(AQ122="0",BJ122,0)</f>
        <v>0</v>
      </c>
      <c r="AI122" s="35"/>
      <c r="AJ122" s="24">
        <f t="shared" ref="AJ122:AJ133" si="103">IF(AN122=0,L122,0)</f>
        <v>0</v>
      </c>
      <c r="AK122" s="24">
        <f t="shared" ref="AK122:AK133" si="104">IF(AN122=15,L122,0)</f>
        <v>0</v>
      </c>
      <c r="AL122" s="24">
        <f t="shared" ref="AL122:AL133" si="105">IF(AN122=21,L122,0)</f>
        <v>0</v>
      </c>
      <c r="AN122" s="37">
        <v>21</v>
      </c>
      <c r="AO122" s="37">
        <f>I122*0.568571428571429</f>
        <v>0</v>
      </c>
      <c r="AP122" s="37">
        <f>I122*(1-0.568571428571429)</f>
        <v>0</v>
      </c>
      <c r="AQ122" s="38" t="s">
        <v>13</v>
      </c>
      <c r="AV122" s="37">
        <f t="shared" ref="AV122:AV133" si="106">AW122+AX122</f>
        <v>0</v>
      </c>
      <c r="AW122" s="37">
        <f t="shared" ref="AW122:AW133" si="107">H122*AO122</f>
        <v>0</v>
      </c>
      <c r="AX122" s="37">
        <f t="shared" ref="AX122:AX133" si="108">H122*AP122</f>
        <v>0</v>
      </c>
      <c r="AY122" s="40" t="s">
        <v>1210</v>
      </c>
      <c r="AZ122" s="40" t="s">
        <v>1255</v>
      </c>
      <c r="BA122" s="35" t="s">
        <v>1262</v>
      </c>
      <c r="BC122" s="37">
        <f t="shared" ref="BC122:BC133" si="109">AW122+AX122</f>
        <v>0</v>
      </c>
      <c r="BD122" s="37">
        <f t="shared" ref="BD122:BD133" si="110">I122/(100-BE122)*100</f>
        <v>0</v>
      </c>
      <c r="BE122" s="37">
        <v>0</v>
      </c>
      <c r="BF122" s="37">
        <f t="shared" ref="BF122:BF133" si="111">N122</f>
        <v>366</v>
      </c>
      <c r="BH122" s="24">
        <f t="shared" ref="BH122:BH133" si="112">H122*AO122</f>
        <v>0</v>
      </c>
      <c r="BI122" s="24">
        <f t="shared" ref="BI122:BI133" si="113">H122*AP122</f>
        <v>0</v>
      </c>
      <c r="BJ122" s="24">
        <f t="shared" ref="BJ122:BJ133" si="114">H122*I122</f>
        <v>0</v>
      </c>
      <c r="BK122" s="24" t="s">
        <v>1267</v>
      </c>
      <c r="BL122" s="37">
        <v>722</v>
      </c>
    </row>
    <row r="123" spans="1:64" x14ac:dyDescent="0.25">
      <c r="A123" s="4" t="s">
        <v>74</v>
      </c>
      <c r="B123" s="14" t="s">
        <v>412</v>
      </c>
      <c r="C123" s="130" t="s">
        <v>800</v>
      </c>
      <c r="D123" s="131"/>
      <c r="E123" s="131"/>
      <c r="F123" s="131"/>
      <c r="G123" s="14" t="s">
        <v>1165</v>
      </c>
      <c r="H123" s="24">
        <v>4</v>
      </c>
      <c r="I123" s="24">
        <v>0</v>
      </c>
      <c r="J123" s="24">
        <f t="shared" si="92"/>
        <v>0</v>
      </c>
      <c r="K123" s="24">
        <f t="shared" si="93"/>
        <v>0</v>
      </c>
      <c r="L123" s="24">
        <f t="shared" si="94"/>
        <v>0</v>
      </c>
      <c r="M123" s="24">
        <v>0</v>
      </c>
      <c r="N123" s="46">
        <f>H123*123</f>
        <v>492</v>
      </c>
      <c r="O123" s="5"/>
      <c r="Z123" s="37">
        <f t="shared" si="95"/>
        <v>0</v>
      </c>
      <c r="AB123" s="37">
        <f t="shared" si="96"/>
        <v>0</v>
      </c>
      <c r="AC123" s="37">
        <f t="shared" si="97"/>
        <v>0</v>
      </c>
      <c r="AD123" s="37">
        <f t="shared" si="98"/>
        <v>0</v>
      </c>
      <c r="AE123" s="37">
        <f t="shared" si="99"/>
        <v>0</v>
      </c>
      <c r="AF123" s="37">
        <f t="shared" si="100"/>
        <v>0</v>
      </c>
      <c r="AG123" s="37">
        <f t="shared" si="101"/>
        <v>0</v>
      </c>
      <c r="AH123" s="37">
        <f t="shared" si="102"/>
        <v>0</v>
      </c>
      <c r="AI123" s="35"/>
      <c r="AJ123" s="24">
        <f t="shared" si="103"/>
        <v>0</v>
      </c>
      <c r="AK123" s="24">
        <f t="shared" si="104"/>
        <v>0</v>
      </c>
      <c r="AL123" s="24">
        <f t="shared" si="105"/>
        <v>0</v>
      </c>
      <c r="AN123" s="37">
        <v>21</v>
      </c>
      <c r="AO123" s="37">
        <f>I123*0</f>
        <v>0</v>
      </c>
      <c r="AP123" s="37">
        <f>I123*(1-0)</f>
        <v>0</v>
      </c>
      <c r="AQ123" s="38" t="s">
        <v>13</v>
      </c>
      <c r="AV123" s="37">
        <f t="shared" si="106"/>
        <v>0</v>
      </c>
      <c r="AW123" s="37">
        <f t="shared" si="107"/>
        <v>0</v>
      </c>
      <c r="AX123" s="37">
        <f t="shared" si="108"/>
        <v>0</v>
      </c>
      <c r="AY123" s="40" t="s">
        <v>1210</v>
      </c>
      <c r="AZ123" s="40" t="s">
        <v>1255</v>
      </c>
      <c r="BA123" s="35" t="s">
        <v>1262</v>
      </c>
      <c r="BC123" s="37">
        <f t="shared" si="109"/>
        <v>0</v>
      </c>
      <c r="BD123" s="37">
        <f t="shared" si="110"/>
        <v>0</v>
      </c>
      <c r="BE123" s="37">
        <v>0</v>
      </c>
      <c r="BF123" s="37">
        <f t="shared" si="111"/>
        <v>492</v>
      </c>
      <c r="BH123" s="24">
        <f t="shared" si="112"/>
        <v>0</v>
      </c>
      <c r="BI123" s="24">
        <f t="shared" si="113"/>
        <v>0</v>
      </c>
      <c r="BJ123" s="24">
        <f t="shared" si="114"/>
        <v>0</v>
      </c>
      <c r="BK123" s="24" t="s">
        <v>1267</v>
      </c>
      <c r="BL123" s="37">
        <v>722</v>
      </c>
    </row>
    <row r="124" spans="1:64" x14ac:dyDescent="0.25">
      <c r="A124" s="4" t="s">
        <v>75</v>
      </c>
      <c r="B124" s="14" t="s">
        <v>413</v>
      </c>
      <c r="C124" s="130" t="s">
        <v>801</v>
      </c>
      <c r="D124" s="131"/>
      <c r="E124" s="131"/>
      <c r="F124" s="131"/>
      <c r="G124" s="14" t="s">
        <v>1165</v>
      </c>
      <c r="H124" s="24">
        <v>4</v>
      </c>
      <c r="I124" s="24">
        <v>0</v>
      </c>
      <c r="J124" s="24">
        <f t="shared" si="92"/>
        <v>0</v>
      </c>
      <c r="K124" s="24">
        <f t="shared" si="93"/>
        <v>0</v>
      </c>
      <c r="L124" s="24">
        <f t="shared" si="94"/>
        <v>0</v>
      </c>
      <c r="M124" s="24">
        <v>0</v>
      </c>
      <c r="N124" s="46">
        <f>H124*124</f>
        <v>496</v>
      </c>
      <c r="O124" s="5"/>
      <c r="Z124" s="37">
        <f t="shared" si="95"/>
        <v>0</v>
      </c>
      <c r="AB124" s="37">
        <f t="shared" si="96"/>
        <v>0</v>
      </c>
      <c r="AC124" s="37">
        <f t="shared" si="97"/>
        <v>0</v>
      </c>
      <c r="AD124" s="37">
        <f t="shared" si="98"/>
        <v>0</v>
      </c>
      <c r="AE124" s="37">
        <f t="shared" si="99"/>
        <v>0</v>
      </c>
      <c r="AF124" s="37">
        <f t="shared" si="100"/>
        <v>0</v>
      </c>
      <c r="AG124" s="37">
        <f t="shared" si="101"/>
        <v>0</v>
      </c>
      <c r="AH124" s="37">
        <f t="shared" si="102"/>
        <v>0</v>
      </c>
      <c r="AI124" s="35"/>
      <c r="AJ124" s="24">
        <f t="shared" si="103"/>
        <v>0</v>
      </c>
      <c r="AK124" s="24">
        <f t="shared" si="104"/>
        <v>0</v>
      </c>
      <c r="AL124" s="24">
        <f t="shared" si="105"/>
        <v>0</v>
      </c>
      <c r="AN124" s="37">
        <v>21</v>
      </c>
      <c r="AO124" s="37">
        <f>I124*0</f>
        <v>0</v>
      </c>
      <c r="AP124" s="37">
        <f>I124*(1-0)</f>
        <v>0</v>
      </c>
      <c r="AQ124" s="38" t="s">
        <v>13</v>
      </c>
      <c r="AV124" s="37">
        <f t="shared" si="106"/>
        <v>0</v>
      </c>
      <c r="AW124" s="37">
        <f t="shared" si="107"/>
        <v>0</v>
      </c>
      <c r="AX124" s="37">
        <f t="shared" si="108"/>
        <v>0</v>
      </c>
      <c r="AY124" s="40" t="s">
        <v>1210</v>
      </c>
      <c r="AZ124" s="40" t="s">
        <v>1255</v>
      </c>
      <c r="BA124" s="35" t="s">
        <v>1262</v>
      </c>
      <c r="BC124" s="37">
        <f t="shared" si="109"/>
        <v>0</v>
      </c>
      <c r="BD124" s="37">
        <f t="shared" si="110"/>
        <v>0</v>
      </c>
      <c r="BE124" s="37">
        <v>0</v>
      </c>
      <c r="BF124" s="37">
        <f t="shared" si="111"/>
        <v>496</v>
      </c>
      <c r="BH124" s="24">
        <f t="shared" si="112"/>
        <v>0</v>
      </c>
      <c r="BI124" s="24">
        <f t="shared" si="113"/>
        <v>0</v>
      </c>
      <c r="BJ124" s="24">
        <f t="shared" si="114"/>
        <v>0</v>
      </c>
      <c r="BK124" s="24" t="s">
        <v>1267</v>
      </c>
      <c r="BL124" s="37">
        <v>722</v>
      </c>
    </row>
    <row r="125" spans="1:64" x14ac:dyDescent="0.25">
      <c r="A125" s="4" t="s">
        <v>76</v>
      </c>
      <c r="B125" s="14" t="s">
        <v>414</v>
      </c>
      <c r="C125" s="130" t="s">
        <v>802</v>
      </c>
      <c r="D125" s="131"/>
      <c r="E125" s="131"/>
      <c r="F125" s="131"/>
      <c r="G125" s="14" t="s">
        <v>1165</v>
      </c>
      <c r="H125" s="24">
        <v>8</v>
      </c>
      <c r="I125" s="24">
        <v>0</v>
      </c>
      <c r="J125" s="24">
        <f t="shared" si="92"/>
        <v>0</v>
      </c>
      <c r="K125" s="24">
        <f t="shared" si="93"/>
        <v>0</v>
      </c>
      <c r="L125" s="24">
        <f t="shared" si="94"/>
        <v>0</v>
      </c>
      <c r="M125" s="24">
        <v>0</v>
      </c>
      <c r="N125" s="46">
        <f>H125*125</f>
        <v>1000</v>
      </c>
      <c r="O125" s="5"/>
      <c r="Z125" s="37">
        <f t="shared" si="95"/>
        <v>0</v>
      </c>
      <c r="AB125" s="37">
        <f t="shared" si="96"/>
        <v>0</v>
      </c>
      <c r="AC125" s="37">
        <f t="shared" si="97"/>
        <v>0</v>
      </c>
      <c r="AD125" s="37">
        <f t="shared" si="98"/>
        <v>0</v>
      </c>
      <c r="AE125" s="37">
        <f t="shared" si="99"/>
        <v>0</v>
      </c>
      <c r="AF125" s="37">
        <f t="shared" si="100"/>
        <v>0</v>
      </c>
      <c r="AG125" s="37">
        <f t="shared" si="101"/>
        <v>0</v>
      </c>
      <c r="AH125" s="37">
        <f t="shared" si="102"/>
        <v>0</v>
      </c>
      <c r="AI125" s="35"/>
      <c r="AJ125" s="24">
        <f t="shared" si="103"/>
        <v>0</v>
      </c>
      <c r="AK125" s="24">
        <f t="shared" si="104"/>
        <v>0</v>
      </c>
      <c r="AL125" s="24">
        <f t="shared" si="105"/>
        <v>0</v>
      </c>
      <c r="AN125" s="37">
        <v>21</v>
      </c>
      <c r="AO125" s="37">
        <f>I125*0</f>
        <v>0</v>
      </c>
      <c r="AP125" s="37">
        <f>I125*(1-0)</f>
        <v>0</v>
      </c>
      <c r="AQ125" s="38" t="s">
        <v>13</v>
      </c>
      <c r="AV125" s="37">
        <f t="shared" si="106"/>
        <v>0</v>
      </c>
      <c r="AW125" s="37">
        <f t="shared" si="107"/>
        <v>0</v>
      </c>
      <c r="AX125" s="37">
        <f t="shared" si="108"/>
        <v>0</v>
      </c>
      <c r="AY125" s="40" t="s">
        <v>1210</v>
      </c>
      <c r="AZ125" s="40" t="s">
        <v>1255</v>
      </c>
      <c r="BA125" s="35" t="s">
        <v>1262</v>
      </c>
      <c r="BC125" s="37">
        <f t="shared" si="109"/>
        <v>0</v>
      </c>
      <c r="BD125" s="37">
        <f t="shared" si="110"/>
        <v>0</v>
      </c>
      <c r="BE125" s="37">
        <v>0</v>
      </c>
      <c r="BF125" s="37">
        <f t="shared" si="111"/>
        <v>1000</v>
      </c>
      <c r="BH125" s="24">
        <f t="shared" si="112"/>
        <v>0</v>
      </c>
      <c r="BI125" s="24">
        <f t="shared" si="113"/>
        <v>0</v>
      </c>
      <c r="BJ125" s="24">
        <f t="shared" si="114"/>
        <v>0</v>
      </c>
      <c r="BK125" s="24" t="s">
        <v>1267</v>
      </c>
      <c r="BL125" s="37">
        <v>722</v>
      </c>
    </row>
    <row r="126" spans="1:64" x14ac:dyDescent="0.25">
      <c r="A126" s="4" t="s">
        <v>77</v>
      </c>
      <c r="B126" s="14" t="s">
        <v>415</v>
      </c>
      <c r="C126" s="130" t="s">
        <v>803</v>
      </c>
      <c r="D126" s="131"/>
      <c r="E126" s="131"/>
      <c r="F126" s="131"/>
      <c r="G126" s="14" t="s">
        <v>1172</v>
      </c>
      <c r="H126" s="24">
        <v>1</v>
      </c>
      <c r="I126" s="24">
        <v>0</v>
      </c>
      <c r="J126" s="24">
        <f t="shared" si="92"/>
        <v>0</v>
      </c>
      <c r="K126" s="24">
        <f t="shared" si="93"/>
        <v>0</v>
      </c>
      <c r="L126" s="24">
        <f t="shared" si="94"/>
        <v>0</v>
      </c>
      <c r="M126" s="24">
        <v>1.1639999999999999E-2</v>
      </c>
      <c r="N126" s="46">
        <f>H126*126</f>
        <v>126</v>
      </c>
      <c r="O126" s="5"/>
      <c r="Z126" s="37">
        <f t="shared" si="95"/>
        <v>0</v>
      </c>
      <c r="AB126" s="37">
        <f t="shared" si="96"/>
        <v>0</v>
      </c>
      <c r="AC126" s="37">
        <f t="shared" si="97"/>
        <v>0</v>
      </c>
      <c r="AD126" s="37">
        <f t="shared" si="98"/>
        <v>0</v>
      </c>
      <c r="AE126" s="37">
        <f t="shared" si="99"/>
        <v>0</v>
      </c>
      <c r="AF126" s="37">
        <f t="shared" si="100"/>
        <v>0</v>
      </c>
      <c r="AG126" s="37">
        <f t="shared" si="101"/>
        <v>0</v>
      </c>
      <c r="AH126" s="37">
        <f t="shared" si="102"/>
        <v>0</v>
      </c>
      <c r="AI126" s="35"/>
      <c r="AJ126" s="24">
        <f t="shared" si="103"/>
        <v>0</v>
      </c>
      <c r="AK126" s="24">
        <f t="shared" si="104"/>
        <v>0</v>
      </c>
      <c r="AL126" s="24">
        <f t="shared" si="105"/>
        <v>0</v>
      </c>
      <c r="AN126" s="37">
        <v>21</v>
      </c>
      <c r="AO126" s="37">
        <f>I126*0.562750174947516</f>
        <v>0</v>
      </c>
      <c r="AP126" s="37">
        <f>I126*(1-0.562750174947516)</f>
        <v>0</v>
      </c>
      <c r="AQ126" s="38" t="s">
        <v>13</v>
      </c>
      <c r="AV126" s="37">
        <f t="shared" si="106"/>
        <v>0</v>
      </c>
      <c r="AW126" s="37">
        <f t="shared" si="107"/>
        <v>0</v>
      </c>
      <c r="AX126" s="37">
        <f t="shared" si="108"/>
        <v>0</v>
      </c>
      <c r="AY126" s="40" t="s">
        <v>1210</v>
      </c>
      <c r="AZ126" s="40" t="s">
        <v>1255</v>
      </c>
      <c r="BA126" s="35" t="s">
        <v>1262</v>
      </c>
      <c r="BC126" s="37">
        <f t="shared" si="109"/>
        <v>0</v>
      </c>
      <c r="BD126" s="37">
        <f t="shared" si="110"/>
        <v>0</v>
      </c>
      <c r="BE126" s="37">
        <v>0</v>
      </c>
      <c r="BF126" s="37">
        <f t="shared" si="111"/>
        <v>126</v>
      </c>
      <c r="BH126" s="24">
        <f t="shared" si="112"/>
        <v>0</v>
      </c>
      <c r="BI126" s="24">
        <f t="shared" si="113"/>
        <v>0</v>
      </c>
      <c r="BJ126" s="24">
        <f t="shared" si="114"/>
        <v>0</v>
      </c>
      <c r="BK126" s="24" t="s">
        <v>1267</v>
      </c>
      <c r="BL126" s="37">
        <v>722</v>
      </c>
    </row>
    <row r="127" spans="1:64" x14ac:dyDescent="0.25">
      <c r="A127" s="4" t="s">
        <v>78</v>
      </c>
      <c r="B127" s="14" t="s">
        <v>416</v>
      </c>
      <c r="C127" s="130" t="s">
        <v>804</v>
      </c>
      <c r="D127" s="131"/>
      <c r="E127" s="131"/>
      <c r="F127" s="131"/>
      <c r="G127" s="14" t="s">
        <v>1172</v>
      </c>
      <c r="H127" s="24">
        <v>2</v>
      </c>
      <c r="I127" s="24">
        <v>0</v>
      </c>
      <c r="J127" s="24">
        <f t="shared" si="92"/>
        <v>0</v>
      </c>
      <c r="K127" s="24">
        <f t="shared" si="93"/>
        <v>0</v>
      </c>
      <c r="L127" s="24">
        <f t="shared" si="94"/>
        <v>0</v>
      </c>
      <c r="M127" s="24">
        <v>9.5399999999999999E-3</v>
      </c>
      <c r="N127" s="46">
        <f>H127*127</f>
        <v>254</v>
      </c>
      <c r="O127" s="5"/>
      <c r="Z127" s="37">
        <f t="shared" si="95"/>
        <v>0</v>
      </c>
      <c r="AB127" s="37">
        <f t="shared" si="96"/>
        <v>0</v>
      </c>
      <c r="AC127" s="37">
        <f t="shared" si="97"/>
        <v>0</v>
      </c>
      <c r="AD127" s="37">
        <f t="shared" si="98"/>
        <v>0</v>
      </c>
      <c r="AE127" s="37">
        <f t="shared" si="99"/>
        <v>0</v>
      </c>
      <c r="AF127" s="37">
        <f t="shared" si="100"/>
        <v>0</v>
      </c>
      <c r="AG127" s="37">
        <f t="shared" si="101"/>
        <v>0</v>
      </c>
      <c r="AH127" s="37">
        <f t="shared" si="102"/>
        <v>0</v>
      </c>
      <c r="AI127" s="35"/>
      <c r="AJ127" s="24">
        <f t="shared" si="103"/>
        <v>0</v>
      </c>
      <c r="AK127" s="24">
        <f t="shared" si="104"/>
        <v>0</v>
      </c>
      <c r="AL127" s="24">
        <f t="shared" si="105"/>
        <v>0</v>
      </c>
      <c r="AN127" s="37">
        <v>21</v>
      </c>
      <c r="AO127" s="37">
        <f>I127*0.490032188841202</f>
        <v>0</v>
      </c>
      <c r="AP127" s="37">
        <f>I127*(1-0.490032188841202)</f>
        <v>0</v>
      </c>
      <c r="AQ127" s="38" t="s">
        <v>13</v>
      </c>
      <c r="AV127" s="37">
        <f t="shared" si="106"/>
        <v>0</v>
      </c>
      <c r="AW127" s="37">
        <f t="shared" si="107"/>
        <v>0</v>
      </c>
      <c r="AX127" s="37">
        <f t="shared" si="108"/>
        <v>0</v>
      </c>
      <c r="AY127" s="40" t="s">
        <v>1210</v>
      </c>
      <c r="AZ127" s="40" t="s">
        <v>1255</v>
      </c>
      <c r="BA127" s="35" t="s">
        <v>1262</v>
      </c>
      <c r="BC127" s="37">
        <f t="shared" si="109"/>
        <v>0</v>
      </c>
      <c r="BD127" s="37">
        <f t="shared" si="110"/>
        <v>0</v>
      </c>
      <c r="BE127" s="37">
        <v>0</v>
      </c>
      <c r="BF127" s="37">
        <f t="shared" si="111"/>
        <v>254</v>
      </c>
      <c r="BH127" s="24">
        <f t="shared" si="112"/>
        <v>0</v>
      </c>
      <c r="BI127" s="24">
        <f t="shared" si="113"/>
        <v>0</v>
      </c>
      <c r="BJ127" s="24">
        <f t="shared" si="114"/>
        <v>0</v>
      </c>
      <c r="BK127" s="24" t="s">
        <v>1267</v>
      </c>
      <c r="BL127" s="37">
        <v>722</v>
      </c>
    </row>
    <row r="128" spans="1:64" x14ac:dyDescent="0.25">
      <c r="A128" s="4" t="s">
        <v>79</v>
      </c>
      <c r="B128" s="14" t="s">
        <v>417</v>
      </c>
      <c r="C128" s="130" t="s">
        <v>805</v>
      </c>
      <c r="D128" s="131"/>
      <c r="E128" s="131"/>
      <c r="F128" s="131"/>
      <c r="G128" s="14" t="s">
        <v>1165</v>
      </c>
      <c r="H128" s="24">
        <v>6</v>
      </c>
      <c r="I128" s="24">
        <v>0</v>
      </c>
      <c r="J128" s="24">
        <f t="shared" si="92"/>
        <v>0</v>
      </c>
      <c r="K128" s="24">
        <f t="shared" si="93"/>
        <v>0</v>
      </c>
      <c r="L128" s="24">
        <f t="shared" si="94"/>
        <v>0</v>
      </c>
      <c r="M128" s="24">
        <v>4.4000000000000002E-4</v>
      </c>
      <c r="N128" s="46">
        <f>H128*128</f>
        <v>768</v>
      </c>
      <c r="O128" s="5"/>
      <c r="Z128" s="37">
        <f t="shared" si="95"/>
        <v>0</v>
      </c>
      <c r="AB128" s="37">
        <f t="shared" si="96"/>
        <v>0</v>
      </c>
      <c r="AC128" s="37">
        <f t="shared" si="97"/>
        <v>0</v>
      </c>
      <c r="AD128" s="37">
        <f t="shared" si="98"/>
        <v>0</v>
      </c>
      <c r="AE128" s="37">
        <f t="shared" si="99"/>
        <v>0</v>
      </c>
      <c r="AF128" s="37">
        <f t="shared" si="100"/>
        <v>0</v>
      </c>
      <c r="AG128" s="37">
        <f t="shared" si="101"/>
        <v>0</v>
      </c>
      <c r="AH128" s="37">
        <f t="shared" si="102"/>
        <v>0</v>
      </c>
      <c r="AI128" s="35"/>
      <c r="AJ128" s="24">
        <f t="shared" si="103"/>
        <v>0</v>
      </c>
      <c r="AK128" s="24">
        <f t="shared" si="104"/>
        <v>0</v>
      </c>
      <c r="AL128" s="24">
        <f t="shared" si="105"/>
        <v>0</v>
      </c>
      <c r="AN128" s="37">
        <v>21</v>
      </c>
      <c r="AO128" s="37">
        <f>I128*0.354133949191686</f>
        <v>0</v>
      </c>
      <c r="AP128" s="37">
        <f>I128*(1-0.354133949191686)</f>
        <v>0</v>
      </c>
      <c r="AQ128" s="38" t="s">
        <v>13</v>
      </c>
      <c r="AV128" s="37">
        <f t="shared" si="106"/>
        <v>0</v>
      </c>
      <c r="AW128" s="37">
        <f t="shared" si="107"/>
        <v>0</v>
      </c>
      <c r="AX128" s="37">
        <f t="shared" si="108"/>
        <v>0</v>
      </c>
      <c r="AY128" s="40" t="s">
        <v>1210</v>
      </c>
      <c r="AZ128" s="40" t="s">
        <v>1255</v>
      </c>
      <c r="BA128" s="35" t="s">
        <v>1262</v>
      </c>
      <c r="BC128" s="37">
        <f t="shared" si="109"/>
        <v>0</v>
      </c>
      <c r="BD128" s="37">
        <f t="shared" si="110"/>
        <v>0</v>
      </c>
      <c r="BE128" s="37">
        <v>0</v>
      </c>
      <c r="BF128" s="37">
        <f t="shared" si="111"/>
        <v>768</v>
      </c>
      <c r="BH128" s="24">
        <f t="shared" si="112"/>
        <v>0</v>
      </c>
      <c r="BI128" s="24">
        <f t="shared" si="113"/>
        <v>0</v>
      </c>
      <c r="BJ128" s="24">
        <f t="shared" si="114"/>
        <v>0</v>
      </c>
      <c r="BK128" s="24" t="s">
        <v>1267</v>
      </c>
      <c r="BL128" s="37">
        <v>722</v>
      </c>
    </row>
    <row r="129" spans="1:64" x14ac:dyDescent="0.25">
      <c r="A129" s="4" t="s">
        <v>80</v>
      </c>
      <c r="B129" s="14" t="s">
        <v>418</v>
      </c>
      <c r="C129" s="130" t="s">
        <v>806</v>
      </c>
      <c r="D129" s="131"/>
      <c r="E129" s="131"/>
      <c r="F129" s="131"/>
      <c r="G129" s="14" t="s">
        <v>1172</v>
      </c>
      <c r="H129" s="24">
        <v>1</v>
      </c>
      <c r="I129" s="24">
        <v>0</v>
      </c>
      <c r="J129" s="24">
        <f t="shared" si="92"/>
        <v>0</v>
      </c>
      <c r="K129" s="24">
        <f t="shared" si="93"/>
        <v>0</v>
      </c>
      <c r="L129" s="24">
        <f t="shared" si="94"/>
        <v>0</v>
      </c>
      <c r="M129" s="24">
        <v>0</v>
      </c>
      <c r="N129" s="46">
        <f>H129*129</f>
        <v>129</v>
      </c>
      <c r="O129" s="5"/>
      <c r="Z129" s="37">
        <f t="shared" si="95"/>
        <v>0</v>
      </c>
      <c r="AB129" s="37">
        <f t="shared" si="96"/>
        <v>0</v>
      </c>
      <c r="AC129" s="37">
        <f t="shared" si="97"/>
        <v>0</v>
      </c>
      <c r="AD129" s="37">
        <f t="shared" si="98"/>
        <v>0</v>
      </c>
      <c r="AE129" s="37">
        <f t="shared" si="99"/>
        <v>0</v>
      </c>
      <c r="AF129" s="37">
        <f t="shared" si="100"/>
        <v>0</v>
      </c>
      <c r="AG129" s="37">
        <f t="shared" si="101"/>
        <v>0</v>
      </c>
      <c r="AH129" s="37">
        <f t="shared" si="102"/>
        <v>0</v>
      </c>
      <c r="AI129" s="35"/>
      <c r="AJ129" s="24">
        <f t="shared" si="103"/>
        <v>0</v>
      </c>
      <c r="AK129" s="24">
        <f t="shared" si="104"/>
        <v>0</v>
      </c>
      <c r="AL129" s="24">
        <f t="shared" si="105"/>
        <v>0</v>
      </c>
      <c r="AN129" s="37">
        <v>21</v>
      </c>
      <c r="AO129" s="37">
        <f>I129*0</f>
        <v>0</v>
      </c>
      <c r="AP129" s="37">
        <f>I129*(1-0)</f>
        <v>0</v>
      </c>
      <c r="AQ129" s="38" t="s">
        <v>13</v>
      </c>
      <c r="AV129" s="37">
        <f t="shared" si="106"/>
        <v>0</v>
      </c>
      <c r="AW129" s="37">
        <f t="shared" si="107"/>
        <v>0</v>
      </c>
      <c r="AX129" s="37">
        <f t="shared" si="108"/>
        <v>0</v>
      </c>
      <c r="AY129" s="40" t="s">
        <v>1210</v>
      </c>
      <c r="AZ129" s="40" t="s">
        <v>1255</v>
      </c>
      <c r="BA129" s="35" t="s">
        <v>1262</v>
      </c>
      <c r="BC129" s="37">
        <f t="shared" si="109"/>
        <v>0</v>
      </c>
      <c r="BD129" s="37">
        <f t="shared" si="110"/>
        <v>0</v>
      </c>
      <c r="BE129" s="37">
        <v>0</v>
      </c>
      <c r="BF129" s="37">
        <f t="shared" si="111"/>
        <v>129</v>
      </c>
      <c r="BH129" s="24">
        <f t="shared" si="112"/>
        <v>0</v>
      </c>
      <c r="BI129" s="24">
        <f t="shared" si="113"/>
        <v>0</v>
      </c>
      <c r="BJ129" s="24">
        <f t="shared" si="114"/>
        <v>0</v>
      </c>
      <c r="BK129" s="24" t="s">
        <v>1267</v>
      </c>
      <c r="BL129" s="37">
        <v>722</v>
      </c>
    </row>
    <row r="130" spans="1:64" x14ac:dyDescent="0.25">
      <c r="A130" s="4" t="s">
        <v>81</v>
      </c>
      <c r="B130" s="14" t="s">
        <v>419</v>
      </c>
      <c r="C130" s="130" t="s">
        <v>807</v>
      </c>
      <c r="D130" s="131"/>
      <c r="E130" s="131"/>
      <c r="F130" s="131"/>
      <c r="G130" s="14" t="s">
        <v>1170</v>
      </c>
      <c r="H130" s="24">
        <v>2</v>
      </c>
      <c r="I130" s="24">
        <v>0</v>
      </c>
      <c r="J130" s="24">
        <f t="shared" si="92"/>
        <v>0</v>
      </c>
      <c r="K130" s="24">
        <f t="shared" si="93"/>
        <v>0</v>
      </c>
      <c r="L130" s="24">
        <f t="shared" si="94"/>
        <v>0</v>
      </c>
      <c r="M130" s="24">
        <v>1.6000000000000001E-4</v>
      </c>
      <c r="N130" s="46">
        <f>H130*130</f>
        <v>260</v>
      </c>
      <c r="O130" s="5"/>
      <c r="Z130" s="37">
        <f t="shared" si="95"/>
        <v>0</v>
      </c>
      <c r="AB130" s="37">
        <f t="shared" si="96"/>
        <v>0</v>
      </c>
      <c r="AC130" s="37">
        <f t="shared" si="97"/>
        <v>0</v>
      </c>
      <c r="AD130" s="37">
        <f t="shared" si="98"/>
        <v>0</v>
      </c>
      <c r="AE130" s="37">
        <f t="shared" si="99"/>
        <v>0</v>
      </c>
      <c r="AF130" s="37">
        <f t="shared" si="100"/>
        <v>0</v>
      </c>
      <c r="AG130" s="37">
        <f t="shared" si="101"/>
        <v>0</v>
      </c>
      <c r="AH130" s="37">
        <f t="shared" si="102"/>
        <v>0</v>
      </c>
      <c r="AI130" s="35"/>
      <c r="AJ130" s="24">
        <f t="shared" si="103"/>
        <v>0</v>
      </c>
      <c r="AK130" s="24">
        <f t="shared" si="104"/>
        <v>0</v>
      </c>
      <c r="AL130" s="24">
        <f t="shared" si="105"/>
        <v>0</v>
      </c>
      <c r="AN130" s="37">
        <v>21</v>
      </c>
      <c r="AO130" s="37">
        <f>I130*0.509262536873156</f>
        <v>0</v>
      </c>
      <c r="AP130" s="37">
        <f>I130*(1-0.509262536873156)</f>
        <v>0</v>
      </c>
      <c r="AQ130" s="38" t="s">
        <v>13</v>
      </c>
      <c r="AV130" s="37">
        <f t="shared" si="106"/>
        <v>0</v>
      </c>
      <c r="AW130" s="37">
        <f t="shared" si="107"/>
        <v>0</v>
      </c>
      <c r="AX130" s="37">
        <f t="shared" si="108"/>
        <v>0</v>
      </c>
      <c r="AY130" s="40" t="s">
        <v>1210</v>
      </c>
      <c r="AZ130" s="40" t="s">
        <v>1255</v>
      </c>
      <c r="BA130" s="35" t="s">
        <v>1262</v>
      </c>
      <c r="BC130" s="37">
        <f t="shared" si="109"/>
        <v>0</v>
      </c>
      <c r="BD130" s="37">
        <f t="shared" si="110"/>
        <v>0</v>
      </c>
      <c r="BE130" s="37">
        <v>0</v>
      </c>
      <c r="BF130" s="37">
        <f t="shared" si="111"/>
        <v>260</v>
      </c>
      <c r="BH130" s="24">
        <f t="shared" si="112"/>
        <v>0</v>
      </c>
      <c r="BI130" s="24">
        <f t="shared" si="113"/>
        <v>0</v>
      </c>
      <c r="BJ130" s="24">
        <f t="shared" si="114"/>
        <v>0</v>
      </c>
      <c r="BK130" s="24" t="s">
        <v>1267</v>
      </c>
      <c r="BL130" s="37">
        <v>722</v>
      </c>
    </row>
    <row r="131" spans="1:64" x14ac:dyDescent="0.25">
      <c r="A131" s="4" t="s">
        <v>82</v>
      </c>
      <c r="B131" s="14" t="s">
        <v>420</v>
      </c>
      <c r="C131" s="130" t="s">
        <v>808</v>
      </c>
      <c r="D131" s="131"/>
      <c r="E131" s="131"/>
      <c r="F131" s="131"/>
      <c r="G131" s="14" t="s">
        <v>1165</v>
      </c>
      <c r="H131" s="24">
        <v>8</v>
      </c>
      <c r="I131" s="24">
        <v>0</v>
      </c>
      <c r="J131" s="24">
        <f t="shared" si="92"/>
        <v>0</v>
      </c>
      <c r="K131" s="24">
        <f t="shared" si="93"/>
        <v>0</v>
      </c>
      <c r="L131" s="24">
        <f t="shared" si="94"/>
        <v>0</v>
      </c>
      <c r="M131" s="24">
        <v>0</v>
      </c>
      <c r="N131" s="46">
        <f>H131*131</f>
        <v>1048</v>
      </c>
      <c r="O131" s="5"/>
      <c r="Z131" s="37">
        <f t="shared" si="95"/>
        <v>0</v>
      </c>
      <c r="AB131" s="37">
        <f t="shared" si="96"/>
        <v>0</v>
      </c>
      <c r="AC131" s="37">
        <f t="shared" si="97"/>
        <v>0</v>
      </c>
      <c r="AD131" s="37">
        <f t="shared" si="98"/>
        <v>0</v>
      </c>
      <c r="AE131" s="37">
        <f t="shared" si="99"/>
        <v>0</v>
      </c>
      <c r="AF131" s="37">
        <f t="shared" si="100"/>
        <v>0</v>
      </c>
      <c r="AG131" s="37">
        <f t="shared" si="101"/>
        <v>0</v>
      </c>
      <c r="AH131" s="37">
        <f t="shared" si="102"/>
        <v>0</v>
      </c>
      <c r="AI131" s="35"/>
      <c r="AJ131" s="24">
        <f t="shared" si="103"/>
        <v>0</v>
      </c>
      <c r="AK131" s="24">
        <f t="shared" si="104"/>
        <v>0</v>
      </c>
      <c r="AL131" s="24">
        <f t="shared" si="105"/>
        <v>0</v>
      </c>
      <c r="AN131" s="37">
        <v>21</v>
      </c>
      <c r="AO131" s="37">
        <f>I131*0.0142372881355932</f>
        <v>0</v>
      </c>
      <c r="AP131" s="37">
        <f>I131*(1-0.0142372881355932)</f>
        <v>0</v>
      </c>
      <c r="AQ131" s="38" t="s">
        <v>13</v>
      </c>
      <c r="AV131" s="37">
        <f t="shared" si="106"/>
        <v>0</v>
      </c>
      <c r="AW131" s="37">
        <f t="shared" si="107"/>
        <v>0</v>
      </c>
      <c r="AX131" s="37">
        <f t="shared" si="108"/>
        <v>0</v>
      </c>
      <c r="AY131" s="40" t="s">
        <v>1210</v>
      </c>
      <c r="AZ131" s="40" t="s">
        <v>1255</v>
      </c>
      <c r="BA131" s="35" t="s">
        <v>1262</v>
      </c>
      <c r="BC131" s="37">
        <f t="shared" si="109"/>
        <v>0</v>
      </c>
      <c r="BD131" s="37">
        <f t="shared" si="110"/>
        <v>0</v>
      </c>
      <c r="BE131" s="37">
        <v>0</v>
      </c>
      <c r="BF131" s="37">
        <f t="shared" si="111"/>
        <v>1048</v>
      </c>
      <c r="BH131" s="24">
        <f t="shared" si="112"/>
        <v>0</v>
      </c>
      <c r="BI131" s="24">
        <f t="shared" si="113"/>
        <v>0</v>
      </c>
      <c r="BJ131" s="24">
        <f t="shared" si="114"/>
        <v>0</v>
      </c>
      <c r="BK131" s="24" t="s">
        <v>1267</v>
      </c>
      <c r="BL131" s="37">
        <v>722</v>
      </c>
    </row>
    <row r="132" spans="1:64" x14ac:dyDescent="0.25">
      <c r="A132" s="4" t="s">
        <v>83</v>
      </c>
      <c r="B132" s="14" t="s">
        <v>421</v>
      </c>
      <c r="C132" s="130" t="s">
        <v>809</v>
      </c>
      <c r="D132" s="131"/>
      <c r="E132" s="131"/>
      <c r="F132" s="131"/>
      <c r="G132" s="14" t="s">
        <v>1165</v>
      </c>
      <c r="H132" s="24">
        <v>8</v>
      </c>
      <c r="I132" s="24">
        <v>0</v>
      </c>
      <c r="J132" s="24">
        <f t="shared" si="92"/>
        <v>0</v>
      </c>
      <c r="K132" s="24">
        <f t="shared" si="93"/>
        <v>0</v>
      </c>
      <c r="L132" s="24">
        <f t="shared" si="94"/>
        <v>0</v>
      </c>
      <c r="M132" s="24">
        <v>1.0000000000000001E-5</v>
      </c>
      <c r="N132" s="46">
        <f>H132*132</f>
        <v>1056</v>
      </c>
      <c r="O132" s="5"/>
      <c r="Z132" s="37">
        <f t="shared" si="95"/>
        <v>0</v>
      </c>
      <c r="AB132" s="37">
        <f t="shared" si="96"/>
        <v>0</v>
      </c>
      <c r="AC132" s="37">
        <f t="shared" si="97"/>
        <v>0</v>
      </c>
      <c r="AD132" s="37">
        <f t="shared" si="98"/>
        <v>0</v>
      </c>
      <c r="AE132" s="37">
        <f t="shared" si="99"/>
        <v>0</v>
      </c>
      <c r="AF132" s="37">
        <f t="shared" si="100"/>
        <v>0</v>
      </c>
      <c r="AG132" s="37">
        <f t="shared" si="101"/>
        <v>0</v>
      </c>
      <c r="AH132" s="37">
        <f t="shared" si="102"/>
        <v>0</v>
      </c>
      <c r="AI132" s="35"/>
      <c r="AJ132" s="24">
        <f t="shared" si="103"/>
        <v>0</v>
      </c>
      <c r="AK132" s="24">
        <f t="shared" si="104"/>
        <v>0</v>
      </c>
      <c r="AL132" s="24">
        <f t="shared" si="105"/>
        <v>0</v>
      </c>
      <c r="AN132" s="37">
        <v>21</v>
      </c>
      <c r="AO132" s="37">
        <f>I132*0.0515151515151515</f>
        <v>0</v>
      </c>
      <c r="AP132" s="37">
        <f>I132*(1-0.0515151515151515)</f>
        <v>0</v>
      </c>
      <c r="AQ132" s="38" t="s">
        <v>13</v>
      </c>
      <c r="AV132" s="37">
        <f t="shared" si="106"/>
        <v>0</v>
      </c>
      <c r="AW132" s="37">
        <f t="shared" si="107"/>
        <v>0</v>
      </c>
      <c r="AX132" s="37">
        <f t="shared" si="108"/>
        <v>0</v>
      </c>
      <c r="AY132" s="40" t="s">
        <v>1210</v>
      </c>
      <c r="AZ132" s="40" t="s">
        <v>1255</v>
      </c>
      <c r="BA132" s="35" t="s">
        <v>1262</v>
      </c>
      <c r="BC132" s="37">
        <f t="shared" si="109"/>
        <v>0</v>
      </c>
      <c r="BD132" s="37">
        <f t="shared" si="110"/>
        <v>0</v>
      </c>
      <c r="BE132" s="37">
        <v>0</v>
      </c>
      <c r="BF132" s="37">
        <f t="shared" si="111"/>
        <v>1056</v>
      </c>
      <c r="BH132" s="24">
        <f t="shared" si="112"/>
        <v>0</v>
      </c>
      <c r="BI132" s="24">
        <f t="shared" si="113"/>
        <v>0</v>
      </c>
      <c r="BJ132" s="24">
        <f t="shared" si="114"/>
        <v>0</v>
      </c>
      <c r="BK132" s="24" t="s">
        <v>1267</v>
      </c>
      <c r="BL132" s="37">
        <v>722</v>
      </c>
    </row>
    <row r="133" spans="1:64" x14ac:dyDescent="0.25">
      <c r="A133" s="4" t="s">
        <v>84</v>
      </c>
      <c r="B133" s="14" t="s">
        <v>422</v>
      </c>
      <c r="C133" s="130" t="s">
        <v>810</v>
      </c>
      <c r="D133" s="131"/>
      <c r="E133" s="131"/>
      <c r="F133" s="131"/>
      <c r="G133" s="14" t="s">
        <v>1170</v>
      </c>
      <c r="H133" s="24">
        <v>1</v>
      </c>
      <c r="I133" s="24">
        <v>0</v>
      </c>
      <c r="J133" s="24">
        <f t="shared" si="92"/>
        <v>0</v>
      </c>
      <c r="K133" s="24">
        <f t="shared" si="93"/>
        <v>0</v>
      </c>
      <c r="L133" s="24">
        <f t="shared" si="94"/>
        <v>0</v>
      </c>
      <c r="M133" s="24">
        <v>3.5899999999999999E-3</v>
      </c>
      <c r="N133" s="46">
        <f>H133*133</f>
        <v>133</v>
      </c>
      <c r="O133" s="5"/>
      <c r="Z133" s="37">
        <f t="shared" si="95"/>
        <v>0</v>
      </c>
      <c r="AB133" s="37">
        <f t="shared" si="96"/>
        <v>0</v>
      </c>
      <c r="AC133" s="37">
        <f t="shared" si="97"/>
        <v>0</v>
      </c>
      <c r="AD133" s="37">
        <f t="shared" si="98"/>
        <v>0</v>
      </c>
      <c r="AE133" s="37">
        <f t="shared" si="99"/>
        <v>0</v>
      </c>
      <c r="AF133" s="37">
        <f t="shared" si="100"/>
        <v>0</v>
      </c>
      <c r="AG133" s="37">
        <f t="shared" si="101"/>
        <v>0</v>
      </c>
      <c r="AH133" s="37">
        <f t="shared" si="102"/>
        <v>0</v>
      </c>
      <c r="AI133" s="35"/>
      <c r="AJ133" s="24">
        <f t="shared" si="103"/>
        <v>0</v>
      </c>
      <c r="AK133" s="24">
        <f t="shared" si="104"/>
        <v>0</v>
      </c>
      <c r="AL133" s="24">
        <f t="shared" si="105"/>
        <v>0</v>
      </c>
      <c r="AN133" s="37">
        <v>21</v>
      </c>
      <c r="AO133" s="37">
        <f>I133*0.916045255849833</f>
        <v>0</v>
      </c>
      <c r="AP133" s="37">
        <f>I133*(1-0.916045255849833)</f>
        <v>0</v>
      </c>
      <c r="AQ133" s="38" t="s">
        <v>13</v>
      </c>
      <c r="AV133" s="37">
        <f t="shared" si="106"/>
        <v>0</v>
      </c>
      <c r="AW133" s="37">
        <f t="shared" si="107"/>
        <v>0</v>
      </c>
      <c r="AX133" s="37">
        <f t="shared" si="108"/>
        <v>0</v>
      </c>
      <c r="AY133" s="40" t="s">
        <v>1210</v>
      </c>
      <c r="AZ133" s="40" t="s">
        <v>1255</v>
      </c>
      <c r="BA133" s="35" t="s">
        <v>1262</v>
      </c>
      <c r="BC133" s="37">
        <f t="shared" si="109"/>
        <v>0</v>
      </c>
      <c r="BD133" s="37">
        <f t="shared" si="110"/>
        <v>0</v>
      </c>
      <c r="BE133" s="37">
        <v>0</v>
      </c>
      <c r="BF133" s="37">
        <f t="shared" si="111"/>
        <v>133</v>
      </c>
      <c r="BH133" s="24">
        <f t="shared" si="112"/>
        <v>0</v>
      </c>
      <c r="BI133" s="24">
        <f t="shared" si="113"/>
        <v>0</v>
      </c>
      <c r="BJ133" s="24">
        <f t="shared" si="114"/>
        <v>0</v>
      </c>
      <c r="BK133" s="24" t="s">
        <v>1267</v>
      </c>
      <c r="BL133" s="37">
        <v>722</v>
      </c>
    </row>
    <row r="134" spans="1:64" x14ac:dyDescent="0.25">
      <c r="A134" s="6"/>
      <c r="B134" s="15" t="s">
        <v>423</v>
      </c>
      <c r="C134" s="132" t="s">
        <v>811</v>
      </c>
      <c r="D134" s="133"/>
      <c r="E134" s="133"/>
      <c r="F134" s="133"/>
      <c r="G134" s="22" t="s">
        <v>6</v>
      </c>
      <c r="H134" s="22" t="s">
        <v>6</v>
      </c>
      <c r="I134" s="22" t="s">
        <v>6</v>
      </c>
      <c r="J134" s="43">
        <f>SUM(J135:J153)</f>
        <v>0</v>
      </c>
      <c r="K134" s="43">
        <f>SUM(K135:K153)</f>
        <v>0</v>
      </c>
      <c r="L134" s="43">
        <f>SUM(L135:L153)</f>
        <v>0</v>
      </c>
      <c r="M134" s="35"/>
      <c r="N134" s="47">
        <f>SUM(N135:N153)</f>
        <v>14922</v>
      </c>
      <c r="O134" s="5"/>
      <c r="AI134" s="35"/>
      <c r="AS134" s="43">
        <f>SUM(AJ135:AJ153)</f>
        <v>0</v>
      </c>
      <c r="AT134" s="43">
        <f>SUM(AK135:AK153)</f>
        <v>0</v>
      </c>
      <c r="AU134" s="43">
        <f>SUM(AL135:AL153)</f>
        <v>0</v>
      </c>
    </row>
    <row r="135" spans="1:64" x14ac:dyDescent="0.25">
      <c r="A135" s="4" t="s">
        <v>85</v>
      </c>
      <c r="B135" s="14" t="s">
        <v>424</v>
      </c>
      <c r="C135" s="130" t="s">
        <v>812</v>
      </c>
      <c r="D135" s="131"/>
      <c r="E135" s="131"/>
      <c r="F135" s="131"/>
      <c r="G135" s="14" t="s">
        <v>1165</v>
      </c>
      <c r="H135" s="24">
        <v>2</v>
      </c>
      <c r="I135" s="24">
        <v>0</v>
      </c>
      <c r="J135" s="24">
        <f t="shared" ref="J135:J151" si="115">H135*AO135</f>
        <v>0</v>
      </c>
      <c r="K135" s="24">
        <f t="shared" ref="K135:K151" si="116">H135*AP135</f>
        <v>0</v>
      </c>
      <c r="L135" s="24">
        <f t="shared" ref="L135:L151" si="117">H135*I135</f>
        <v>0</v>
      </c>
      <c r="M135" s="24">
        <v>8.0599999999999995E-3</v>
      </c>
      <c r="N135" s="46">
        <f>H135*135</f>
        <v>270</v>
      </c>
      <c r="O135" s="5"/>
      <c r="Z135" s="37">
        <f t="shared" ref="Z135:Z151" si="118">IF(AQ135="5",BJ135,0)</f>
        <v>0</v>
      </c>
      <c r="AB135" s="37">
        <f t="shared" ref="AB135:AB151" si="119">IF(AQ135="1",BH135,0)</f>
        <v>0</v>
      </c>
      <c r="AC135" s="37">
        <f t="shared" ref="AC135:AC151" si="120">IF(AQ135="1",BI135,0)</f>
        <v>0</v>
      </c>
      <c r="AD135" s="37">
        <f t="shared" ref="AD135:AD151" si="121">IF(AQ135="7",BH135,0)</f>
        <v>0</v>
      </c>
      <c r="AE135" s="37">
        <f t="shared" ref="AE135:AE151" si="122">IF(AQ135="7",BI135,0)</f>
        <v>0</v>
      </c>
      <c r="AF135" s="37">
        <f t="shared" ref="AF135:AF151" si="123">IF(AQ135="2",BH135,0)</f>
        <v>0</v>
      </c>
      <c r="AG135" s="37">
        <f t="shared" ref="AG135:AG151" si="124">IF(AQ135="2",BI135,0)</f>
        <v>0</v>
      </c>
      <c r="AH135" s="37">
        <f t="shared" ref="AH135:AH151" si="125">IF(AQ135="0",BJ135,0)</f>
        <v>0</v>
      </c>
      <c r="AI135" s="35"/>
      <c r="AJ135" s="24">
        <f t="shared" ref="AJ135:AJ151" si="126">IF(AN135=0,L135,0)</f>
        <v>0</v>
      </c>
      <c r="AK135" s="24">
        <f t="shared" ref="AK135:AK151" si="127">IF(AN135=15,L135,0)</f>
        <v>0</v>
      </c>
      <c r="AL135" s="24">
        <f t="shared" ref="AL135:AL151" si="128">IF(AN135=21,L135,0)</f>
        <v>0</v>
      </c>
      <c r="AN135" s="37">
        <v>21</v>
      </c>
      <c r="AO135" s="37">
        <f>I135*0.571892307692308</f>
        <v>0</v>
      </c>
      <c r="AP135" s="37">
        <f>I135*(1-0.571892307692308)</f>
        <v>0</v>
      </c>
      <c r="AQ135" s="38" t="s">
        <v>13</v>
      </c>
      <c r="AV135" s="37">
        <f t="shared" ref="AV135:AV151" si="129">AW135+AX135</f>
        <v>0</v>
      </c>
      <c r="AW135" s="37">
        <f t="shared" ref="AW135:AW151" si="130">H135*AO135</f>
        <v>0</v>
      </c>
      <c r="AX135" s="37">
        <f t="shared" ref="AX135:AX151" si="131">H135*AP135</f>
        <v>0</v>
      </c>
      <c r="AY135" s="40" t="s">
        <v>1211</v>
      </c>
      <c r="AZ135" s="40" t="s">
        <v>1255</v>
      </c>
      <c r="BA135" s="35" t="s">
        <v>1262</v>
      </c>
      <c r="BC135" s="37">
        <f t="shared" ref="BC135:BC151" si="132">AW135+AX135</f>
        <v>0</v>
      </c>
      <c r="BD135" s="37">
        <f t="shared" ref="BD135:BD151" si="133">I135/(100-BE135)*100</f>
        <v>0</v>
      </c>
      <c r="BE135" s="37">
        <v>0</v>
      </c>
      <c r="BF135" s="37">
        <f t="shared" ref="BF135:BF151" si="134">N135</f>
        <v>270</v>
      </c>
      <c r="BH135" s="24">
        <f t="shared" ref="BH135:BH151" si="135">H135*AO135</f>
        <v>0</v>
      </c>
      <c r="BI135" s="24">
        <f t="shared" ref="BI135:BI151" si="136">H135*AP135</f>
        <v>0</v>
      </c>
      <c r="BJ135" s="24">
        <f t="shared" ref="BJ135:BJ151" si="137">H135*I135</f>
        <v>0</v>
      </c>
      <c r="BK135" s="24" t="s">
        <v>1267</v>
      </c>
      <c r="BL135" s="37">
        <v>723</v>
      </c>
    </row>
    <row r="136" spans="1:64" x14ac:dyDescent="0.25">
      <c r="A136" s="4" t="s">
        <v>86</v>
      </c>
      <c r="B136" s="14" t="s">
        <v>425</v>
      </c>
      <c r="C136" s="130" t="s">
        <v>813</v>
      </c>
      <c r="D136" s="131"/>
      <c r="E136" s="131"/>
      <c r="F136" s="131"/>
      <c r="G136" s="14" t="s">
        <v>1165</v>
      </c>
      <c r="H136" s="24">
        <v>11</v>
      </c>
      <c r="I136" s="24">
        <v>0</v>
      </c>
      <c r="J136" s="24">
        <f t="shared" si="115"/>
        <v>0</v>
      </c>
      <c r="K136" s="24">
        <f t="shared" si="116"/>
        <v>0</v>
      </c>
      <c r="L136" s="24">
        <f t="shared" si="117"/>
        <v>0</v>
      </c>
      <c r="M136" s="24">
        <v>7.3400000000000002E-3</v>
      </c>
      <c r="N136" s="46">
        <f>H136*136</f>
        <v>1496</v>
      </c>
      <c r="O136" s="5"/>
      <c r="Z136" s="37">
        <f t="shared" si="118"/>
        <v>0</v>
      </c>
      <c r="AB136" s="37">
        <f t="shared" si="119"/>
        <v>0</v>
      </c>
      <c r="AC136" s="37">
        <f t="shared" si="120"/>
        <v>0</v>
      </c>
      <c r="AD136" s="37">
        <f t="shared" si="121"/>
        <v>0</v>
      </c>
      <c r="AE136" s="37">
        <f t="shared" si="122"/>
        <v>0</v>
      </c>
      <c r="AF136" s="37">
        <f t="shared" si="123"/>
        <v>0</v>
      </c>
      <c r="AG136" s="37">
        <f t="shared" si="124"/>
        <v>0</v>
      </c>
      <c r="AH136" s="37">
        <f t="shared" si="125"/>
        <v>0</v>
      </c>
      <c r="AI136" s="35"/>
      <c r="AJ136" s="24">
        <f t="shared" si="126"/>
        <v>0</v>
      </c>
      <c r="AK136" s="24">
        <f t="shared" si="127"/>
        <v>0</v>
      </c>
      <c r="AL136" s="24">
        <f t="shared" si="128"/>
        <v>0</v>
      </c>
      <c r="AN136" s="37">
        <v>21</v>
      </c>
      <c r="AO136" s="37">
        <f>I136*0.51268876611418</f>
        <v>0</v>
      </c>
      <c r="AP136" s="37">
        <f>I136*(1-0.51268876611418)</f>
        <v>0</v>
      </c>
      <c r="AQ136" s="38" t="s">
        <v>13</v>
      </c>
      <c r="AV136" s="37">
        <f t="shared" si="129"/>
        <v>0</v>
      </c>
      <c r="AW136" s="37">
        <f t="shared" si="130"/>
        <v>0</v>
      </c>
      <c r="AX136" s="37">
        <f t="shared" si="131"/>
        <v>0</v>
      </c>
      <c r="AY136" s="40" t="s">
        <v>1211</v>
      </c>
      <c r="AZ136" s="40" t="s">
        <v>1255</v>
      </c>
      <c r="BA136" s="35" t="s">
        <v>1262</v>
      </c>
      <c r="BC136" s="37">
        <f t="shared" si="132"/>
        <v>0</v>
      </c>
      <c r="BD136" s="37">
        <f t="shared" si="133"/>
        <v>0</v>
      </c>
      <c r="BE136" s="37">
        <v>0</v>
      </c>
      <c r="BF136" s="37">
        <f t="shared" si="134"/>
        <v>1496</v>
      </c>
      <c r="BH136" s="24">
        <f t="shared" si="135"/>
        <v>0</v>
      </c>
      <c r="BI136" s="24">
        <f t="shared" si="136"/>
        <v>0</v>
      </c>
      <c r="BJ136" s="24">
        <f t="shared" si="137"/>
        <v>0</v>
      </c>
      <c r="BK136" s="24" t="s">
        <v>1267</v>
      </c>
      <c r="BL136" s="37">
        <v>723</v>
      </c>
    </row>
    <row r="137" spans="1:64" x14ac:dyDescent="0.25">
      <c r="A137" s="4" t="s">
        <v>87</v>
      </c>
      <c r="B137" s="14" t="s">
        <v>426</v>
      </c>
      <c r="C137" s="130" t="s">
        <v>814</v>
      </c>
      <c r="D137" s="131"/>
      <c r="E137" s="131"/>
      <c r="F137" s="131"/>
      <c r="G137" s="14" t="s">
        <v>1165</v>
      </c>
      <c r="H137" s="24">
        <v>1</v>
      </c>
      <c r="I137" s="24">
        <v>0</v>
      </c>
      <c r="J137" s="24">
        <f t="shared" si="115"/>
        <v>0</v>
      </c>
      <c r="K137" s="24">
        <f t="shared" si="116"/>
        <v>0</v>
      </c>
      <c r="L137" s="24">
        <f t="shared" si="117"/>
        <v>0</v>
      </c>
      <c r="M137" s="24">
        <v>2.1690000000000001E-2</v>
      </c>
      <c r="N137" s="46">
        <f>H137*137</f>
        <v>137</v>
      </c>
      <c r="O137" s="5"/>
      <c r="Z137" s="37">
        <f t="shared" si="118"/>
        <v>0</v>
      </c>
      <c r="AB137" s="37">
        <f t="shared" si="119"/>
        <v>0</v>
      </c>
      <c r="AC137" s="37">
        <f t="shared" si="120"/>
        <v>0</v>
      </c>
      <c r="AD137" s="37">
        <f t="shared" si="121"/>
        <v>0</v>
      </c>
      <c r="AE137" s="37">
        <f t="shared" si="122"/>
        <v>0</v>
      </c>
      <c r="AF137" s="37">
        <f t="shared" si="123"/>
        <v>0</v>
      </c>
      <c r="AG137" s="37">
        <f t="shared" si="124"/>
        <v>0</v>
      </c>
      <c r="AH137" s="37">
        <f t="shared" si="125"/>
        <v>0</v>
      </c>
      <c r="AI137" s="35"/>
      <c r="AJ137" s="24">
        <f t="shared" si="126"/>
        <v>0</v>
      </c>
      <c r="AK137" s="24">
        <f t="shared" si="127"/>
        <v>0</v>
      </c>
      <c r="AL137" s="24">
        <f t="shared" si="128"/>
        <v>0</v>
      </c>
      <c r="AN137" s="37">
        <v>21</v>
      </c>
      <c r="AO137" s="37">
        <f>I137*0.418262839879154</f>
        <v>0</v>
      </c>
      <c r="AP137" s="37">
        <f>I137*(1-0.418262839879154)</f>
        <v>0</v>
      </c>
      <c r="AQ137" s="38" t="s">
        <v>13</v>
      </c>
      <c r="AV137" s="37">
        <f t="shared" si="129"/>
        <v>0</v>
      </c>
      <c r="AW137" s="37">
        <f t="shared" si="130"/>
        <v>0</v>
      </c>
      <c r="AX137" s="37">
        <f t="shared" si="131"/>
        <v>0</v>
      </c>
      <c r="AY137" s="40" t="s">
        <v>1211</v>
      </c>
      <c r="AZ137" s="40" t="s">
        <v>1255</v>
      </c>
      <c r="BA137" s="35" t="s">
        <v>1262</v>
      </c>
      <c r="BC137" s="37">
        <f t="shared" si="132"/>
        <v>0</v>
      </c>
      <c r="BD137" s="37">
        <f t="shared" si="133"/>
        <v>0</v>
      </c>
      <c r="BE137" s="37">
        <v>0</v>
      </c>
      <c r="BF137" s="37">
        <f t="shared" si="134"/>
        <v>137</v>
      </c>
      <c r="BH137" s="24">
        <f t="shared" si="135"/>
        <v>0</v>
      </c>
      <c r="BI137" s="24">
        <f t="shared" si="136"/>
        <v>0</v>
      </c>
      <c r="BJ137" s="24">
        <f t="shared" si="137"/>
        <v>0</v>
      </c>
      <c r="BK137" s="24" t="s">
        <v>1267</v>
      </c>
      <c r="BL137" s="37">
        <v>723</v>
      </c>
    </row>
    <row r="138" spans="1:64" x14ac:dyDescent="0.25">
      <c r="A138" s="4" t="s">
        <v>88</v>
      </c>
      <c r="B138" s="14" t="s">
        <v>427</v>
      </c>
      <c r="C138" s="130" t="s">
        <v>815</v>
      </c>
      <c r="D138" s="131"/>
      <c r="E138" s="131"/>
      <c r="F138" s="131"/>
      <c r="G138" s="14" t="s">
        <v>1165</v>
      </c>
      <c r="H138" s="24">
        <v>4</v>
      </c>
      <c r="I138" s="24">
        <v>0</v>
      </c>
      <c r="J138" s="24">
        <f t="shared" si="115"/>
        <v>0</v>
      </c>
      <c r="K138" s="24">
        <f t="shared" si="116"/>
        <v>0</v>
      </c>
      <c r="L138" s="24">
        <f t="shared" si="117"/>
        <v>0</v>
      </c>
      <c r="M138" s="24">
        <v>7.8200000000000006E-3</v>
      </c>
      <c r="N138" s="46">
        <f>H138*138</f>
        <v>552</v>
      </c>
      <c r="O138" s="5"/>
      <c r="Z138" s="37">
        <f t="shared" si="118"/>
        <v>0</v>
      </c>
      <c r="AB138" s="37">
        <f t="shared" si="119"/>
        <v>0</v>
      </c>
      <c r="AC138" s="37">
        <f t="shared" si="120"/>
        <v>0</v>
      </c>
      <c r="AD138" s="37">
        <f t="shared" si="121"/>
        <v>0</v>
      </c>
      <c r="AE138" s="37">
        <f t="shared" si="122"/>
        <v>0</v>
      </c>
      <c r="AF138" s="37">
        <f t="shared" si="123"/>
        <v>0</v>
      </c>
      <c r="AG138" s="37">
        <f t="shared" si="124"/>
        <v>0</v>
      </c>
      <c r="AH138" s="37">
        <f t="shared" si="125"/>
        <v>0</v>
      </c>
      <c r="AI138" s="35"/>
      <c r="AJ138" s="24">
        <f t="shared" si="126"/>
        <v>0</v>
      </c>
      <c r="AK138" s="24">
        <f t="shared" si="127"/>
        <v>0</v>
      </c>
      <c r="AL138" s="24">
        <f t="shared" si="128"/>
        <v>0</v>
      </c>
      <c r="AN138" s="37">
        <v>21</v>
      </c>
      <c r="AO138" s="37">
        <f>I138*0.558201058201058</f>
        <v>0</v>
      </c>
      <c r="AP138" s="37">
        <f>I138*(1-0.558201058201058)</f>
        <v>0</v>
      </c>
      <c r="AQ138" s="38" t="s">
        <v>13</v>
      </c>
      <c r="AV138" s="37">
        <f t="shared" si="129"/>
        <v>0</v>
      </c>
      <c r="AW138" s="37">
        <f t="shared" si="130"/>
        <v>0</v>
      </c>
      <c r="AX138" s="37">
        <f t="shared" si="131"/>
        <v>0</v>
      </c>
      <c r="AY138" s="40" t="s">
        <v>1211</v>
      </c>
      <c r="AZ138" s="40" t="s">
        <v>1255</v>
      </c>
      <c r="BA138" s="35" t="s">
        <v>1262</v>
      </c>
      <c r="BC138" s="37">
        <f t="shared" si="132"/>
        <v>0</v>
      </c>
      <c r="BD138" s="37">
        <f t="shared" si="133"/>
        <v>0</v>
      </c>
      <c r="BE138" s="37">
        <v>0</v>
      </c>
      <c r="BF138" s="37">
        <f t="shared" si="134"/>
        <v>552</v>
      </c>
      <c r="BH138" s="24">
        <f t="shared" si="135"/>
        <v>0</v>
      </c>
      <c r="BI138" s="24">
        <f t="shared" si="136"/>
        <v>0</v>
      </c>
      <c r="BJ138" s="24">
        <f t="shared" si="137"/>
        <v>0</v>
      </c>
      <c r="BK138" s="24" t="s">
        <v>1267</v>
      </c>
      <c r="BL138" s="37">
        <v>723</v>
      </c>
    </row>
    <row r="139" spans="1:64" x14ac:dyDescent="0.25">
      <c r="A139" s="4" t="s">
        <v>89</v>
      </c>
      <c r="B139" s="14" t="s">
        <v>428</v>
      </c>
      <c r="C139" s="130" t="s">
        <v>816</v>
      </c>
      <c r="D139" s="131"/>
      <c r="E139" s="131"/>
      <c r="F139" s="131"/>
      <c r="G139" s="14" t="s">
        <v>1165</v>
      </c>
      <c r="H139" s="24">
        <v>1</v>
      </c>
      <c r="I139" s="24">
        <v>0</v>
      </c>
      <c r="J139" s="24">
        <f t="shared" si="115"/>
        <v>0</v>
      </c>
      <c r="K139" s="24">
        <f t="shared" si="116"/>
        <v>0</v>
      </c>
      <c r="L139" s="24">
        <f t="shared" si="117"/>
        <v>0</v>
      </c>
      <c r="M139" s="24">
        <v>1.4800000000000001E-2</v>
      </c>
      <c r="N139" s="46">
        <f>H139*139</f>
        <v>139</v>
      </c>
      <c r="O139" s="5"/>
      <c r="Z139" s="37">
        <f t="shared" si="118"/>
        <v>0</v>
      </c>
      <c r="AB139" s="37">
        <f t="shared" si="119"/>
        <v>0</v>
      </c>
      <c r="AC139" s="37">
        <f t="shared" si="120"/>
        <v>0</v>
      </c>
      <c r="AD139" s="37">
        <f t="shared" si="121"/>
        <v>0</v>
      </c>
      <c r="AE139" s="37">
        <f t="shared" si="122"/>
        <v>0</v>
      </c>
      <c r="AF139" s="37">
        <f t="shared" si="123"/>
        <v>0</v>
      </c>
      <c r="AG139" s="37">
        <f t="shared" si="124"/>
        <v>0</v>
      </c>
      <c r="AH139" s="37">
        <f t="shared" si="125"/>
        <v>0</v>
      </c>
      <c r="AI139" s="35"/>
      <c r="AJ139" s="24">
        <f t="shared" si="126"/>
        <v>0</v>
      </c>
      <c r="AK139" s="24">
        <f t="shared" si="127"/>
        <v>0</v>
      </c>
      <c r="AL139" s="24">
        <f t="shared" si="128"/>
        <v>0</v>
      </c>
      <c r="AN139" s="37">
        <v>21</v>
      </c>
      <c r="AO139" s="37">
        <f>I139*0.40900651465798</f>
        <v>0</v>
      </c>
      <c r="AP139" s="37">
        <f>I139*(1-0.40900651465798)</f>
        <v>0</v>
      </c>
      <c r="AQ139" s="38" t="s">
        <v>13</v>
      </c>
      <c r="AV139" s="37">
        <f t="shared" si="129"/>
        <v>0</v>
      </c>
      <c r="AW139" s="37">
        <f t="shared" si="130"/>
        <v>0</v>
      </c>
      <c r="AX139" s="37">
        <f t="shared" si="131"/>
        <v>0</v>
      </c>
      <c r="AY139" s="40" t="s">
        <v>1211</v>
      </c>
      <c r="AZ139" s="40" t="s">
        <v>1255</v>
      </c>
      <c r="BA139" s="35" t="s">
        <v>1262</v>
      </c>
      <c r="BC139" s="37">
        <f t="shared" si="132"/>
        <v>0</v>
      </c>
      <c r="BD139" s="37">
        <f t="shared" si="133"/>
        <v>0</v>
      </c>
      <c r="BE139" s="37">
        <v>0</v>
      </c>
      <c r="BF139" s="37">
        <f t="shared" si="134"/>
        <v>139</v>
      </c>
      <c r="BH139" s="24">
        <f t="shared" si="135"/>
        <v>0</v>
      </c>
      <c r="BI139" s="24">
        <f t="shared" si="136"/>
        <v>0</v>
      </c>
      <c r="BJ139" s="24">
        <f t="shared" si="137"/>
        <v>0</v>
      </c>
      <c r="BK139" s="24" t="s">
        <v>1267</v>
      </c>
      <c r="BL139" s="37">
        <v>723</v>
      </c>
    </row>
    <row r="140" spans="1:64" x14ac:dyDescent="0.25">
      <c r="A140" s="4" t="s">
        <v>90</v>
      </c>
      <c r="B140" s="14" t="s">
        <v>429</v>
      </c>
      <c r="C140" s="130" t="s">
        <v>817</v>
      </c>
      <c r="D140" s="131"/>
      <c r="E140" s="131"/>
      <c r="F140" s="131"/>
      <c r="G140" s="14" t="s">
        <v>1165</v>
      </c>
      <c r="H140" s="24">
        <v>1</v>
      </c>
      <c r="I140" s="24">
        <v>0</v>
      </c>
      <c r="J140" s="24">
        <f t="shared" si="115"/>
        <v>0</v>
      </c>
      <c r="K140" s="24">
        <f t="shared" si="116"/>
        <v>0</v>
      </c>
      <c r="L140" s="24">
        <f t="shared" si="117"/>
        <v>0</v>
      </c>
      <c r="M140" s="24">
        <v>1.455E-2</v>
      </c>
      <c r="N140" s="46">
        <f>H140*140</f>
        <v>140</v>
      </c>
      <c r="O140" s="5"/>
      <c r="Z140" s="37">
        <f t="shared" si="118"/>
        <v>0</v>
      </c>
      <c r="AB140" s="37">
        <f t="shared" si="119"/>
        <v>0</v>
      </c>
      <c r="AC140" s="37">
        <f t="shared" si="120"/>
        <v>0</v>
      </c>
      <c r="AD140" s="37">
        <f t="shared" si="121"/>
        <v>0</v>
      </c>
      <c r="AE140" s="37">
        <f t="shared" si="122"/>
        <v>0</v>
      </c>
      <c r="AF140" s="37">
        <f t="shared" si="123"/>
        <v>0</v>
      </c>
      <c r="AG140" s="37">
        <f t="shared" si="124"/>
        <v>0</v>
      </c>
      <c r="AH140" s="37">
        <f t="shared" si="125"/>
        <v>0</v>
      </c>
      <c r="AI140" s="35"/>
      <c r="AJ140" s="24">
        <f t="shared" si="126"/>
        <v>0</v>
      </c>
      <c r="AK140" s="24">
        <f t="shared" si="127"/>
        <v>0</v>
      </c>
      <c r="AL140" s="24">
        <f t="shared" si="128"/>
        <v>0</v>
      </c>
      <c r="AN140" s="37">
        <v>21</v>
      </c>
      <c r="AO140" s="37">
        <f>I140*0.32805504587156</f>
        <v>0</v>
      </c>
      <c r="AP140" s="37">
        <f>I140*(1-0.32805504587156)</f>
        <v>0</v>
      </c>
      <c r="AQ140" s="38" t="s">
        <v>13</v>
      </c>
      <c r="AV140" s="37">
        <f t="shared" si="129"/>
        <v>0</v>
      </c>
      <c r="AW140" s="37">
        <f t="shared" si="130"/>
        <v>0</v>
      </c>
      <c r="AX140" s="37">
        <f t="shared" si="131"/>
        <v>0</v>
      </c>
      <c r="AY140" s="40" t="s">
        <v>1211</v>
      </c>
      <c r="AZ140" s="40" t="s">
        <v>1255</v>
      </c>
      <c r="BA140" s="35" t="s">
        <v>1262</v>
      </c>
      <c r="BC140" s="37">
        <f t="shared" si="132"/>
        <v>0</v>
      </c>
      <c r="BD140" s="37">
        <f t="shared" si="133"/>
        <v>0</v>
      </c>
      <c r="BE140" s="37">
        <v>0</v>
      </c>
      <c r="BF140" s="37">
        <f t="shared" si="134"/>
        <v>140</v>
      </c>
      <c r="BH140" s="24">
        <f t="shared" si="135"/>
        <v>0</v>
      </c>
      <c r="BI140" s="24">
        <f t="shared" si="136"/>
        <v>0</v>
      </c>
      <c r="BJ140" s="24">
        <f t="shared" si="137"/>
        <v>0</v>
      </c>
      <c r="BK140" s="24" t="s">
        <v>1267</v>
      </c>
      <c r="BL140" s="37">
        <v>723</v>
      </c>
    </row>
    <row r="141" spans="1:64" x14ac:dyDescent="0.25">
      <c r="A141" s="4" t="s">
        <v>91</v>
      </c>
      <c r="B141" s="14" t="s">
        <v>430</v>
      </c>
      <c r="C141" s="130" t="s">
        <v>818</v>
      </c>
      <c r="D141" s="131"/>
      <c r="E141" s="131"/>
      <c r="F141" s="131"/>
      <c r="G141" s="14" t="s">
        <v>1165</v>
      </c>
      <c r="H141" s="24">
        <v>1</v>
      </c>
      <c r="I141" s="24">
        <v>0</v>
      </c>
      <c r="J141" s="24">
        <f t="shared" si="115"/>
        <v>0</v>
      </c>
      <c r="K141" s="24">
        <f t="shared" si="116"/>
        <v>0</v>
      </c>
      <c r="L141" s="24">
        <f t="shared" si="117"/>
        <v>0</v>
      </c>
      <c r="M141" s="24">
        <v>5.0899999999999999E-3</v>
      </c>
      <c r="N141" s="46">
        <f>H141*141</f>
        <v>141</v>
      </c>
      <c r="O141" s="5"/>
      <c r="Z141" s="37">
        <f t="shared" si="118"/>
        <v>0</v>
      </c>
      <c r="AB141" s="37">
        <f t="shared" si="119"/>
        <v>0</v>
      </c>
      <c r="AC141" s="37">
        <f t="shared" si="120"/>
        <v>0</v>
      </c>
      <c r="AD141" s="37">
        <f t="shared" si="121"/>
        <v>0</v>
      </c>
      <c r="AE141" s="37">
        <f t="shared" si="122"/>
        <v>0</v>
      </c>
      <c r="AF141" s="37">
        <f t="shared" si="123"/>
        <v>0</v>
      </c>
      <c r="AG141" s="37">
        <f t="shared" si="124"/>
        <v>0</v>
      </c>
      <c r="AH141" s="37">
        <f t="shared" si="125"/>
        <v>0</v>
      </c>
      <c r="AI141" s="35"/>
      <c r="AJ141" s="24">
        <f t="shared" si="126"/>
        <v>0</v>
      </c>
      <c r="AK141" s="24">
        <f t="shared" si="127"/>
        <v>0</v>
      </c>
      <c r="AL141" s="24">
        <f t="shared" si="128"/>
        <v>0</v>
      </c>
      <c r="AN141" s="37">
        <v>21</v>
      </c>
      <c r="AO141" s="37">
        <f>I141*0.372039800995025</f>
        <v>0</v>
      </c>
      <c r="AP141" s="37">
        <f>I141*(1-0.372039800995025)</f>
        <v>0</v>
      </c>
      <c r="AQ141" s="38" t="s">
        <v>13</v>
      </c>
      <c r="AV141" s="37">
        <f t="shared" si="129"/>
        <v>0</v>
      </c>
      <c r="AW141" s="37">
        <f t="shared" si="130"/>
        <v>0</v>
      </c>
      <c r="AX141" s="37">
        <f t="shared" si="131"/>
        <v>0</v>
      </c>
      <c r="AY141" s="40" t="s">
        <v>1211</v>
      </c>
      <c r="AZ141" s="40" t="s">
        <v>1255</v>
      </c>
      <c r="BA141" s="35" t="s">
        <v>1262</v>
      </c>
      <c r="BC141" s="37">
        <f t="shared" si="132"/>
        <v>0</v>
      </c>
      <c r="BD141" s="37">
        <f t="shared" si="133"/>
        <v>0</v>
      </c>
      <c r="BE141" s="37">
        <v>0</v>
      </c>
      <c r="BF141" s="37">
        <f t="shared" si="134"/>
        <v>141</v>
      </c>
      <c r="BH141" s="24">
        <f t="shared" si="135"/>
        <v>0</v>
      </c>
      <c r="BI141" s="24">
        <f t="shared" si="136"/>
        <v>0</v>
      </c>
      <c r="BJ141" s="24">
        <f t="shared" si="137"/>
        <v>0</v>
      </c>
      <c r="BK141" s="24" t="s">
        <v>1267</v>
      </c>
      <c r="BL141" s="37">
        <v>723</v>
      </c>
    </row>
    <row r="142" spans="1:64" x14ac:dyDescent="0.25">
      <c r="A142" s="4" t="s">
        <v>92</v>
      </c>
      <c r="B142" s="14" t="s">
        <v>431</v>
      </c>
      <c r="C142" s="130" t="s">
        <v>819</v>
      </c>
      <c r="D142" s="131"/>
      <c r="E142" s="131"/>
      <c r="F142" s="131"/>
      <c r="G142" s="14" t="s">
        <v>1170</v>
      </c>
      <c r="H142" s="24">
        <v>2</v>
      </c>
      <c r="I142" s="24">
        <v>0</v>
      </c>
      <c r="J142" s="24">
        <f t="shared" si="115"/>
        <v>0</v>
      </c>
      <c r="K142" s="24">
        <f t="shared" si="116"/>
        <v>0</v>
      </c>
      <c r="L142" s="24">
        <f t="shared" si="117"/>
        <v>0</v>
      </c>
      <c r="M142" s="24">
        <v>5.1000000000000004E-4</v>
      </c>
      <c r="N142" s="46">
        <f>H142*142</f>
        <v>284</v>
      </c>
      <c r="O142" s="5"/>
      <c r="Z142" s="37">
        <f t="shared" si="118"/>
        <v>0</v>
      </c>
      <c r="AB142" s="37">
        <f t="shared" si="119"/>
        <v>0</v>
      </c>
      <c r="AC142" s="37">
        <f t="shared" si="120"/>
        <v>0</v>
      </c>
      <c r="AD142" s="37">
        <f t="shared" si="121"/>
        <v>0</v>
      </c>
      <c r="AE142" s="37">
        <f t="shared" si="122"/>
        <v>0</v>
      </c>
      <c r="AF142" s="37">
        <f t="shared" si="123"/>
        <v>0</v>
      </c>
      <c r="AG142" s="37">
        <f t="shared" si="124"/>
        <v>0</v>
      </c>
      <c r="AH142" s="37">
        <f t="shared" si="125"/>
        <v>0</v>
      </c>
      <c r="AI142" s="35"/>
      <c r="AJ142" s="24">
        <f t="shared" si="126"/>
        <v>0</v>
      </c>
      <c r="AK142" s="24">
        <f t="shared" si="127"/>
        <v>0</v>
      </c>
      <c r="AL142" s="24">
        <f t="shared" si="128"/>
        <v>0</v>
      </c>
      <c r="AN142" s="37">
        <v>21</v>
      </c>
      <c r="AO142" s="37">
        <f>I142*0.816782945736434</f>
        <v>0</v>
      </c>
      <c r="AP142" s="37">
        <f>I142*(1-0.816782945736434)</f>
        <v>0</v>
      </c>
      <c r="AQ142" s="38" t="s">
        <v>13</v>
      </c>
      <c r="AV142" s="37">
        <f t="shared" si="129"/>
        <v>0</v>
      </c>
      <c r="AW142" s="37">
        <f t="shared" si="130"/>
        <v>0</v>
      </c>
      <c r="AX142" s="37">
        <f t="shared" si="131"/>
        <v>0</v>
      </c>
      <c r="AY142" s="40" t="s">
        <v>1211</v>
      </c>
      <c r="AZ142" s="40" t="s">
        <v>1255</v>
      </c>
      <c r="BA142" s="35" t="s">
        <v>1262</v>
      </c>
      <c r="BC142" s="37">
        <f t="shared" si="132"/>
        <v>0</v>
      </c>
      <c r="BD142" s="37">
        <f t="shared" si="133"/>
        <v>0</v>
      </c>
      <c r="BE142" s="37">
        <v>0</v>
      </c>
      <c r="BF142" s="37">
        <f t="shared" si="134"/>
        <v>284</v>
      </c>
      <c r="BH142" s="24">
        <f t="shared" si="135"/>
        <v>0</v>
      </c>
      <c r="BI142" s="24">
        <f t="shared" si="136"/>
        <v>0</v>
      </c>
      <c r="BJ142" s="24">
        <f t="shared" si="137"/>
        <v>0</v>
      </c>
      <c r="BK142" s="24" t="s">
        <v>1267</v>
      </c>
      <c r="BL142" s="37">
        <v>723</v>
      </c>
    </row>
    <row r="143" spans="1:64" x14ac:dyDescent="0.25">
      <c r="A143" s="4" t="s">
        <v>93</v>
      </c>
      <c r="B143" s="14" t="s">
        <v>432</v>
      </c>
      <c r="C143" s="130" t="s">
        <v>820</v>
      </c>
      <c r="D143" s="131"/>
      <c r="E143" s="131"/>
      <c r="F143" s="131"/>
      <c r="G143" s="14" t="s">
        <v>1170</v>
      </c>
      <c r="H143" s="24">
        <v>1</v>
      </c>
      <c r="I143" s="24">
        <v>0</v>
      </c>
      <c r="J143" s="24">
        <f t="shared" si="115"/>
        <v>0</v>
      </c>
      <c r="K143" s="24">
        <f t="shared" si="116"/>
        <v>0</v>
      </c>
      <c r="L143" s="24">
        <f t="shared" si="117"/>
        <v>0</v>
      </c>
      <c r="M143" s="24">
        <v>6.9999999999999999E-4</v>
      </c>
      <c r="N143" s="46">
        <f>H143*143</f>
        <v>143</v>
      </c>
      <c r="O143" s="5"/>
      <c r="Z143" s="37">
        <f t="shared" si="118"/>
        <v>0</v>
      </c>
      <c r="AB143" s="37">
        <f t="shared" si="119"/>
        <v>0</v>
      </c>
      <c r="AC143" s="37">
        <f t="shared" si="120"/>
        <v>0</v>
      </c>
      <c r="AD143" s="37">
        <f t="shared" si="121"/>
        <v>0</v>
      </c>
      <c r="AE143" s="37">
        <f t="shared" si="122"/>
        <v>0</v>
      </c>
      <c r="AF143" s="37">
        <f t="shared" si="123"/>
        <v>0</v>
      </c>
      <c r="AG143" s="37">
        <f t="shared" si="124"/>
        <v>0</v>
      </c>
      <c r="AH143" s="37">
        <f t="shared" si="125"/>
        <v>0</v>
      </c>
      <c r="AI143" s="35"/>
      <c r="AJ143" s="24">
        <f t="shared" si="126"/>
        <v>0</v>
      </c>
      <c r="AK143" s="24">
        <f t="shared" si="127"/>
        <v>0</v>
      </c>
      <c r="AL143" s="24">
        <f t="shared" si="128"/>
        <v>0</v>
      </c>
      <c r="AN143" s="37">
        <v>21</v>
      </c>
      <c r="AO143" s="37">
        <f>I143*0.827968923418424</f>
        <v>0</v>
      </c>
      <c r="AP143" s="37">
        <f>I143*(1-0.827968923418424)</f>
        <v>0</v>
      </c>
      <c r="AQ143" s="38" t="s">
        <v>13</v>
      </c>
      <c r="AV143" s="37">
        <f t="shared" si="129"/>
        <v>0</v>
      </c>
      <c r="AW143" s="37">
        <f t="shared" si="130"/>
        <v>0</v>
      </c>
      <c r="AX143" s="37">
        <f t="shared" si="131"/>
        <v>0</v>
      </c>
      <c r="AY143" s="40" t="s">
        <v>1211</v>
      </c>
      <c r="AZ143" s="40" t="s">
        <v>1255</v>
      </c>
      <c r="BA143" s="35" t="s">
        <v>1262</v>
      </c>
      <c r="BC143" s="37">
        <f t="shared" si="132"/>
        <v>0</v>
      </c>
      <c r="BD143" s="37">
        <f t="shared" si="133"/>
        <v>0</v>
      </c>
      <c r="BE143" s="37">
        <v>0</v>
      </c>
      <c r="BF143" s="37">
        <f t="shared" si="134"/>
        <v>143</v>
      </c>
      <c r="BH143" s="24">
        <f t="shared" si="135"/>
        <v>0</v>
      </c>
      <c r="BI143" s="24">
        <f t="shared" si="136"/>
        <v>0</v>
      </c>
      <c r="BJ143" s="24">
        <f t="shared" si="137"/>
        <v>0</v>
      </c>
      <c r="BK143" s="24" t="s">
        <v>1267</v>
      </c>
      <c r="BL143" s="37">
        <v>723</v>
      </c>
    </row>
    <row r="144" spans="1:64" x14ac:dyDescent="0.25">
      <c r="A144" s="4" t="s">
        <v>94</v>
      </c>
      <c r="B144" s="14" t="s">
        <v>433</v>
      </c>
      <c r="C144" s="130" t="s">
        <v>821</v>
      </c>
      <c r="D144" s="131"/>
      <c r="E144" s="131"/>
      <c r="F144" s="131"/>
      <c r="G144" s="14" t="s">
        <v>1170</v>
      </c>
      <c r="H144" s="24">
        <v>2</v>
      </c>
      <c r="I144" s="24">
        <v>0</v>
      </c>
      <c r="J144" s="24">
        <f t="shared" si="115"/>
        <v>0</v>
      </c>
      <c r="K144" s="24">
        <f t="shared" si="116"/>
        <v>0</v>
      </c>
      <c r="L144" s="24">
        <f t="shared" si="117"/>
        <v>0</v>
      </c>
      <c r="M144" s="24">
        <v>3.6999999999999999E-4</v>
      </c>
      <c r="N144" s="46">
        <f>H144*144</f>
        <v>288</v>
      </c>
      <c r="O144" s="5"/>
      <c r="Z144" s="37">
        <f t="shared" si="118"/>
        <v>0</v>
      </c>
      <c r="AB144" s="37">
        <f t="shared" si="119"/>
        <v>0</v>
      </c>
      <c r="AC144" s="37">
        <f t="shared" si="120"/>
        <v>0</v>
      </c>
      <c r="AD144" s="37">
        <f t="shared" si="121"/>
        <v>0</v>
      </c>
      <c r="AE144" s="37">
        <f t="shared" si="122"/>
        <v>0</v>
      </c>
      <c r="AF144" s="37">
        <f t="shared" si="123"/>
        <v>0</v>
      </c>
      <c r="AG144" s="37">
        <f t="shared" si="124"/>
        <v>0</v>
      </c>
      <c r="AH144" s="37">
        <f t="shared" si="125"/>
        <v>0</v>
      </c>
      <c r="AI144" s="35"/>
      <c r="AJ144" s="24">
        <f t="shared" si="126"/>
        <v>0</v>
      </c>
      <c r="AK144" s="24">
        <f t="shared" si="127"/>
        <v>0</v>
      </c>
      <c r="AL144" s="24">
        <f t="shared" si="128"/>
        <v>0</v>
      </c>
      <c r="AN144" s="37">
        <v>21</v>
      </c>
      <c r="AO144" s="37">
        <f>I144*0.784351145038168</f>
        <v>0</v>
      </c>
      <c r="AP144" s="37">
        <f>I144*(1-0.784351145038168)</f>
        <v>0</v>
      </c>
      <c r="AQ144" s="38" t="s">
        <v>13</v>
      </c>
      <c r="AV144" s="37">
        <f t="shared" si="129"/>
        <v>0</v>
      </c>
      <c r="AW144" s="37">
        <f t="shared" si="130"/>
        <v>0</v>
      </c>
      <c r="AX144" s="37">
        <f t="shared" si="131"/>
        <v>0</v>
      </c>
      <c r="AY144" s="40" t="s">
        <v>1211</v>
      </c>
      <c r="AZ144" s="40" t="s">
        <v>1255</v>
      </c>
      <c r="BA144" s="35" t="s">
        <v>1262</v>
      </c>
      <c r="BC144" s="37">
        <f t="shared" si="132"/>
        <v>0</v>
      </c>
      <c r="BD144" s="37">
        <f t="shared" si="133"/>
        <v>0</v>
      </c>
      <c r="BE144" s="37">
        <v>0</v>
      </c>
      <c r="BF144" s="37">
        <f t="shared" si="134"/>
        <v>288</v>
      </c>
      <c r="BH144" s="24">
        <f t="shared" si="135"/>
        <v>0</v>
      </c>
      <c r="BI144" s="24">
        <f t="shared" si="136"/>
        <v>0</v>
      </c>
      <c r="BJ144" s="24">
        <f t="shared" si="137"/>
        <v>0</v>
      </c>
      <c r="BK144" s="24" t="s">
        <v>1267</v>
      </c>
      <c r="BL144" s="37">
        <v>723</v>
      </c>
    </row>
    <row r="145" spans="1:64" x14ac:dyDescent="0.25">
      <c r="A145" s="4" t="s">
        <v>95</v>
      </c>
      <c r="B145" s="14" t="s">
        <v>434</v>
      </c>
      <c r="C145" s="130" t="s">
        <v>822</v>
      </c>
      <c r="D145" s="131"/>
      <c r="E145" s="131"/>
      <c r="F145" s="131"/>
      <c r="G145" s="14" t="s">
        <v>1170</v>
      </c>
      <c r="H145" s="24">
        <v>1</v>
      </c>
      <c r="I145" s="24">
        <v>0</v>
      </c>
      <c r="J145" s="24">
        <f t="shared" si="115"/>
        <v>0</v>
      </c>
      <c r="K145" s="24">
        <f t="shared" si="116"/>
        <v>0</v>
      </c>
      <c r="L145" s="24">
        <f t="shared" si="117"/>
        <v>0</v>
      </c>
      <c r="M145" s="24">
        <v>2.3000000000000001E-4</v>
      </c>
      <c r="N145" s="46">
        <f>H145*145</f>
        <v>145</v>
      </c>
      <c r="O145" s="5"/>
      <c r="Z145" s="37">
        <f t="shared" si="118"/>
        <v>0</v>
      </c>
      <c r="AB145" s="37">
        <f t="shared" si="119"/>
        <v>0</v>
      </c>
      <c r="AC145" s="37">
        <f t="shared" si="120"/>
        <v>0</v>
      </c>
      <c r="AD145" s="37">
        <f t="shared" si="121"/>
        <v>0</v>
      </c>
      <c r="AE145" s="37">
        <f t="shared" si="122"/>
        <v>0</v>
      </c>
      <c r="AF145" s="37">
        <f t="shared" si="123"/>
        <v>0</v>
      </c>
      <c r="AG145" s="37">
        <f t="shared" si="124"/>
        <v>0</v>
      </c>
      <c r="AH145" s="37">
        <f t="shared" si="125"/>
        <v>0</v>
      </c>
      <c r="AI145" s="35"/>
      <c r="AJ145" s="24">
        <f t="shared" si="126"/>
        <v>0</v>
      </c>
      <c r="AK145" s="24">
        <f t="shared" si="127"/>
        <v>0</v>
      </c>
      <c r="AL145" s="24">
        <f t="shared" si="128"/>
        <v>0</v>
      </c>
      <c r="AN145" s="37">
        <v>21</v>
      </c>
      <c r="AO145" s="37">
        <f>I145*0.766483516483517</f>
        <v>0</v>
      </c>
      <c r="AP145" s="37">
        <f>I145*(1-0.766483516483517)</f>
        <v>0</v>
      </c>
      <c r="AQ145" s="38" t="s">
        <v>13</v>
      </c>
      <c r="AV145" s="37">
        <f t="shared" si="129"/>
        <v>0</v>
      </c>
      <c r="AW145" s="37">
        <f t="shared" si="130"/>
        <v>0</v>
      </c>
      <c r="AX145" s="37">
        <f t="shared" si="131"/>
        <v>0</v>
      </c>
      <c r="AY145" s="40" t="s">
        <v>1211</v>
      </c>
      <c r="AZ145" s="40" t="s">
        <v>1255</v>
      </c>
      <c r="BA145" s="35" t="s">
        <v>1262</v>
      </c>
      <c r="BC145" s="37">
        <f t="shared" si="132"/>
        <v>0</v>
      </c>
      <c r="BD145" s="37">
        <f t="shared" si="133"/>
        <v>0</v>
      </c>
      <c r="BE145" s="37">
        <v>0</v>
      </c>
      <c r="BF145" s="37">
        <f t="shared" si="134"/>
        <v>145</v>
      </c>
      <c r="BH145" s="24">
        <f t="shared" si="135"/>
        <v>0</v>
      </c>
      <c r="BI145" s="24">
        <f t="shared" si="136"/>
        <v>0</v>
      </c>
      <c r="BJ145" s="24">
        <f t="shared" si="137"/>
        <v>0</v>
      </c>
      <c r="BK145" s="24" t="s">
        <v>1267</v>
      </c>
      <c r="BL145" s="37">
        <v>723</v>
      </c>
    </row>
    <row r="146" spans="1:64" x14ac:dyDescent="0.25">
      <c r="A146" s="4" t="s">
        <v>96</v>
      </c>
      <c r="B146" s="14" t="s">
        <v>435</v>
      </c>
      <c r="C146" s="130" t="s">
        <v>823</v>
      </c>
      <c r="D146" s="131"/>
      <c r="E146" s="131"/>
      <c r="F146" s="131"/>
      <c r="G146" s="14" t="s">
        <v>1170</v>
      </c>
      <c r="H146" s="24">
        <v>1</v>
      </c>
      <c r="I146" s="24">
        <v>0</v>
      </c>
      <c r="J146" s="24">
        <f t="shared" si="115"/>
        <v>0</v>
      </c>
      <c r="K146" s="24">
        <f t="shared" si="116"/>
        <v>0</v>
      </c>
      <c r="L146" s="24">
        <f t="shared" si="117"/>
        <v>0</v>
      </c>
      <c r="M146" s="24">
        <v>9.3000000000000005E-4</v>
      </c>
      <c r="N146" s="46">
        <f>H146*146</f>
        <v>146</v>
      </c>
      <c r="O146" s="5"/>
      <c r="Z146" s="37">
        <f t="shared" si="118"/>
        <v>0</v>
      </c>
      <c r="AB146" s="37">
        <f t="shared" si="119"/>
        <v>0</v>
      </c>
      <c r="AC146" s="37">
        <f t="shared" si="120"/>
        <v>0</v>
      </c>
      <c r="AD146" s="37">
        <f t="shared" si="121"/>
        <v>0</v>
      </c>
      <c r="AE146" s="37">
        <f t="shared" si="122"/>
        <v>0</v>
      </c>
      <c r="AF146" s="37">
        <f t="shared" si="123"/>
        <v>0</v>
      </c>
      <c r="AG146" s="37">
        <f t="shared" si="124"/>
        <v>0</v>
      </c>
      <c r="AH146" s="37">
        <f t="shared" si="125"/>
        <v>0</v>
      </c>
      <c r="AI146" s="35"/>
      <c r="AJ146" s="24">
        <f t="shared" si="126"/>
        <v>0</v>
      </c>
      <c r="AK146" s="24">
        <f t="shared" si="127"/>
        <v>0</v>
      </c>
      <c r="AL146" s="24">
        <f t="shared" si="128"/>
        <v>0</v>
      </c>
      <c r="AN146" s="37">
        <v>21</v>
      </c>
      <c r="AO146" s="37">
        <f>I146*0.350332409972299</f>
        <v>0</v>
      </c>
      <c r="AP146" s="37">
        <f>I146*(1-0.350332409972299)</f>
        <v>0</v>
      </c>
      <c r="AQ146" s="38" t="s">
        <v>13</v>
      </c>
      <c r="AV146" s="37">
        <f t="shared" si="129"/>
        <v>0</v>
      </c>
      <c r="AW146" s="37">
        <f t="shared" si="130"/>
        <v>0</v>
      </c>
      <c r="AX146" s="37">
        <f t="shared" si="131"/>
        <v>0</v>
      </c>
      <c r="AY146" s="40" t="s">
        <v>1211</v>
      </c>
      <c r="AZ146" s="40" t="s">
        <v>1255</v>
      </c>
      <c r="BA146" s="35" t="s">
        <v>1262</v>
      </c>
      <c r="BC146" s="37">
        <f t="shared" si="132"/>
        <v>0</v>
      </c>
      <c r="BD146" s="37">
        <f t="shared" si="133"/>
        <v>0</v>
      </c>
      <c r="BE146" s="37">
        <v>0</v>
      </c>
      <c r="BF146" s="37">
        <f t="shared" si="134"/>
        <v>146</v>
      </c>
      <c r="BH146" s="24">
        <f t="shared" si="135"/>
        <v>0</v>
      </c>
      <c r="BI146" s="24">
        <f t="shared" si="136"/>
        <v>0</v>
      </c>
      <c r="BJ146" s="24">
        <f t="shared" si="137"/>
        <v>0</v>
      </c>
      <c r="BK146" s="24" t="s">
        <v>1267</v>
      </c>
      <c r="BL146" s="37">
        <v>723</v>
      </c>
    </row>
    <row r="147" spans="1:64" x14ac:dyDescent="0.25">
      <c r="A147" s="4" t="s">
        <v>97</v>
      </c>
      <c r="B147" s="14" t="s">
        <v>436</v>
      </c>
      <c r="C147" s="130" t="s">
        <v>824</v>
      </c>
      <c r="D147" s="131"/>
      <c r="E147" s="131"/>
      <c r="F147" s="131"/>
      <c r="G147" s="14" t="s">
        <v>1165</v>
      </c>
      <c r="H147" s="24">
        <v>70</v>
      </c>
      <c r="I147" s="24">
        <v>0</v>
      </c>
      <c r="J147" s="24">
        <f t="shared" si="115"/>
        <v>0</v>
      </c>
      <c r="K147" s="24">
        <f t="shared" si="116"/>
        <v>0</v>
      </c>
      <c r="L147" s="24">
        <f t="shared" si="117"/>
        <v>0</v>
      </c>
      <c r="M147" s="24">
        <v>0</v>
      </c>
      <c r="N147" s="46">
        <f>H147*147</f>
        <v>10290</v>
      </c>
      <c r="O147" s="5"/>
      <c r="Z147" s="37">
        <f t="shared" si="118"/>
        <v>0</v>
      </c>
      <c r="AB147" s="37">
        <f t="shared" si="119"/>
        <v>0</v>
      </c>
      <c r="AC147" s="37">
        <f t="shared" si="120"/>
        <v>0</v>
      </c>
      <c r="AD147" s="37">
        <f t="shared" si="121"/>
        <v>0</v>
      </c>
      <c r="AE147" s="37">
        <f t="shared" si="122"/>
        <v>0</v>
      </c>
      <c r="AF147" s="37">
        <f t="shared" si="123"/>
        <v>0</v>
      </c>
      <c r="AG147" s="37">
        <f t="shared" si="124"/>
        <v>0</v>
      </c>
      <c r="AH147" s="37">
        <f t="shared" si="125"/>
        <v>0</v>
      </c>
      <c r="AI147" s="35"/>
      <c r="AJ147" s="24">
        <f t="shared" si="126"/>
        <v>0</v>
      </c>
      <c r="AK147" s="24">
        <f t="shared" si="127"/>
        <v>0</v>
      </c>
      <c r="AL147" s="24">
        <f t="shared" si="128"/>
        <v>0</v>
      </c>
      <c r="AN147" s="37">
        <v>21</v>
      </c>
      <c r="AO147" s="37">
        <f>I147*0</f>
        <v>0</v>
      </c>
      <c r="AP147" s="37">
        <f>I147*(1-0)</f>
        <v>0</v>
      </c>
      <c r="AQ147" s="38" t="s">
        <v>13</v>
      </c>
      <c r="AV147" s="37">
        <f t="shared" si="129"/>
        <v>0</v>
      </c>
      <c r="AW147" s="37">
        <f t="shared" si="130"/>
        <v>0</v>
      </c>
      <c r="AX147" s="37">
        <f t="shared" si="131"/>
        <v>0</v>
      </c>
      <c r="AY147" s="40" t="s">
        <v>1211</v>
      </c>
      <c r="AZ147" s="40" t="s">
        <v>1255</v>
      </c>
      <c r="BA147" s="35" t="s">
        <v>1262</v>
      </c>
      <c r="BC147" s="37">
        <f t="shared" si="132"/>
        <v>0</v>
      </c>
      <c r="BD147" s="37">
        <f t="shared" si="133"/>
        <v>0</v>
      </c>
      <c r="BE147" s="37">
        <v>0</v>
      </c>
      <c r="BF147" s="37">
        <f t="shared" si="134"/>
        <v>10290</v>
      </c>
      <c r="BH147" s="24">
        <f t="shared" si="135"/>
        <v>0</v>
      </c>
      <c r="BI147" s="24">
        <f t="shared" si="136"/>
        <v>0</v>
      </c>
      <c r="BJ147" s="24">
        <f t="shared" si="137"/>
        <v>0</v>
      </c>
      <c r="BK147" s="24" t="s">
        <v>1267</v>
      </c>
      <c r="BL147" s="37">
        <v>723</v>
      </c>
    </row>
    <row r="148" spans="1:64" x14ac:dyDescent="0.25">
      <c r="A148" s="4" t="s">
        <v>98</v>
      </c>
      <c r="B148" s="14" t="s">
        <v>437</v>
      </c>
      <c r="C148" s="130" t="s">
        <v>825</v>
      </c>
      <c r="D148" s="131"/>
      <c r="E148" s="131"/>
      <c r="F148" s="131"/>
      <c r="G148" s="14" t="s">
        <v>1170</v>
      </c>
      <c r="H148" s="24">
        <v>1</v>
      </c>
      <c r="I148" s="24">
        <v>0</v>
      </c>
      <c r="J148" s="24">
        <f t="shared" si="115"/>
        <v>0</v>
      </c>
      <c r="K148" s="24">
        <f t="shared" si="116"/>
        <v>0</v>
      </c>
      <c r="L148" s="24">
        <f t="shared" si="117"/>
        <v>0</v>
      </c>
      <c r="M148" s="24">
        <v>0</v>
      </c>
      <c r="N148" s="46">
        <f>H148*148</f>
        <v>148</v>
      </c>
      <c r="O148" s="5"/>
      <c r="Z148" s="37">
        <f t="shared" si="118"/>
        <v>0</v>
      </c>
      <c r="AB148" s="37">
        <f t="shared" si="119"/>
        <v>0</v>
      </c>
      <c r="AC148" s="37">
        <f t="shared" si="120"/>
        <v>0</v>
      </c>
      <c r="AD148" s="37">
        <f t="shared" si="121"/>
        <v>0</v>
      </c>
      <c r="AE148" s="37">
        <f t="shared" si="122"/>
        <v>0</v>
      </c>
      <c r="AF148" s="37">
        <f t="shared" si="123"/>
        <v>0</v>
      </c>
      <c r="AG148" s="37">
        <f t="shared" si="124"/>
        <v>0</v>
      </c>
      <c r="AH148" s="37">
        <f t="shared" si="125"/>
        <v>0</v>
      </c>
      <c r="AI148" s="35"/>
      <c r="AJ148" s="24">
        <f t="shared" si="126"/>
        <v>0</v>
      </c>
      <c r="AK148" s="24">
        <f t="shared" si="127"/>
        <v>0</v>
      </c>
      <c r="AL148" s="24">
        <f t="shared" si="128"/>
        <v>0</v>
      </c>
      <c r="AN148" s="37">
        <v>21</v>
      </c>
      <c r="AO148" s="37">
        <f>I148*0</f>
        <v>0</v>
      </c>
      <c r="AP148" s="37">
        <f>I148*(1-0)</f>
        <v>0</v>
      </c>
      <c r="AQ148" s="38" t="s">
        <v>13</v>
      </c>
      <c r="AV148" s="37">
        <f t="shared" si="129"/>
        <v>0</v>
      </c>
      <c r="AW148" s="37">
        <f t="shared" si="130"/>
        <v>0</v>
      </c>
      <c r="AX148" s="37">
        <f t="shared" si="131"/>
        <v>0</v>
      </c>
      <c r="AY148" s="40" t="s">
        <v>1211</v>
      </c>
      <c r="AZ148" s="40" t="s">
        <v>1255</v>
      </c>
      <c r="BA148" s="35" t="s">
        <v>1262</v>
      </c>
      <c r="BC148" s="37">
        <f t="shared" si="132"/>
        <v>0</v>
      </c>
      <c r="BD148" s="37">
        <f t="shared" si="133"/>
        <v>0</v>
      </c>
      <c r="BE148" s="37">
        <v>0</v>
      </c>
      <c r="BF148" s="37">
        <f t="shared" si="134"/>
        <v>148</v>
      </c>
      <c r="BH148" s="24">
        <f t="shared" si="135"/>
        <v>0</v>
      </c>
      <c r="BI148" s="24">
        <f t="shared" si="136"/>
        <v>0</v>
      </c>
      <c r="BJ148" s="24">
        <f t="shared" si="137"/>
        <v>0</v>
      </c>
      <c r="BK148" s="24" t="s">
        <v>1267</v>
      </c>
      <c r="BL148" s="37">
        <v>723</v>
      </c>
    </row>
    <row r="149" spans="1:64" x14ac:dyDescent="0.25">
      <c r="A149" s="4" t="s">
        <v>99</v>
      </c>
      <c r="B149" s="14" t="s">
        <v>438</v>
      </c>
      <c r="C149" s="130" t="s">
        <v>826</v>
      </c>
      <c r="D149" s="131"/>
      <c r="E149" s="131"/>
      <c r="F149" s="131"/>
      <c r="G149" s="14" t="s">
        <v>1170</v>
      </c>
      <c r="H149" s="24">
        <v>1</v>
      </c>
      <c r="I149" s="24">
        <v>0</v>
      </c>
      <c r="J149" s="24">
        <f t="shared" si="115"/>
        <v>0</v>
      </c>
      <c r="K149" s="24">
        <f t="shared" si="116"/>
        <v>0</v>
      </c>
      <c r="L149" s="24">
        <f t="shared" si="117"/>
        <v>0</v>
      </c>
      <c r="M149" s="24">
        <v>6.2E-4</v>
      </c>
      <c r="N149" s="46">
        <f>H149*149</f>
        <v>149</v>
      </c>
      <c r="O149" s="5"/>
      <c r="Z149" s="37">
        <f t="shared" si="118"/>
        <v>0</v>
      </c>
      <c r="AB149" s="37">
        <f t="shared" si="119"/>
        <v>0</v>
      </c>
      <c r="AC149" s="37">
        <f t="shared" si="120"/>
        <v>0</v>
      </c>
      <c r="AD149" s="37">
        <f t="shared" si="121"/>
        <v>0</v>
      </c>
      <c r="AE149" s="37">
        <f t="shared" si="122"/>
        <v>0</v>
      </c>
      <c r="AF149" s="37">
        <f t="shared" si="123"/>
        <v>0</v>
      </c>
      <c r="AG149" s="37">
        <f t="shared" si="124"/>
        <v>0</v>
      </c>
      <c r="AH149" s="37">
        <f t="shared" si="125"/>
        <v>0</v>
      </c>
      <c r="AI149" s="35"/>
      <c r="AJ149" s="24">
        <f t="shared" si="126"/>
        <v>0</v>
      </c>
      <c r="AK149" s="24">
        <f t="shared" si="127"/>
        <v>0</v>
      </c>
      <c r="AL149" s="24">
        <f t="shared" si="128"/>
        <v>0</v>
      </c>
      <c r="AN149" s="37">
        <v>21</v>
      </c>
      <c r="AO149" s="37">
        <f>I149*0.819488817891374</f>
        <v>0</v>
      </c>
      <c r="AP149" s="37">
        <f>I149*(1-0.819488817891374)</f>
        <v>0</v>
      </c>
      <c r="AQ149" s="38" t="s">
        <v>13</v>
      </c>
      <c r="AV149" s="37">
        <f t="shared" si="129"/>
        <v>0</v>
      </c>
      <c r="AW149" s="37">
        <f t="shared" si="130"/>
        <v>0</v>
      </c>
      <c r="AX149" s="37">
        <f t="shared" si="131"/>
        <v>0</v>
      </c>
      <c r="AY149" s="40" t="s">
        <v>1211</v>
      </c>
      <c r="AZ149" s="40" t="s">
        <v>1255</v>
      </c>
      <c r="BA149" s="35" t="s">
        <v>1262</v>
      </c>
      <c r="BC149" s="37">
        <f t="shared" si="132"/>
        <v>0</v>
      </c>
      <c r="BD149" s="37">
        <f t="shared" si="133"/>
        <v>0</v>
      </c>
      <c r="BE149" s="37">
        <v>0</v>
      </c>
      <c r="BF149" s="37">
        <f t="shared" si="134"/>
        <v>149</v>
      </c>
      <c r="BH149" s="24">
        <f t="shared" si="135"/>
        <v>0</v>
      </c>
      <c r="BI149" s="24">
        <f t="shared" si="136"/>
        <v>0</v>
      </c>
      <c r="BJ149" s="24">
        <f t="shared" si="137"/>
        <v>0</v>
      </c>
      <c r="BK149" s="24" t="s">
        <v>1267</v>
      </c>
      <c r="BL149" s="37">
        <v>723</v>
      </c>
    </row>
    <row r="150" spans="1:64" x14ac:dyDescent="0.25">
      <c r="A150" s="4" t="s">
        <v>100</v>
      </c>
      <c r="B150" s="14" t="s">
        <v>439</v>
      </c>
      <c r="C150" s="130" t="s">
        <v>827</v>
      </c>
      <c r="D150" s="131"/>
      <c r="E150" s="131"/>
      <c r="F150" s="131"/>
      <c r="G150" s="14" t="s">
        <v>1170</v>
      </c>
      <c r="H150" s="24">
        <v>1</v>
      </c>
      <c r="I150" s="24">
        <v>0</v>
      </c>
      <c r="J150" s="24">
        <f t="shared" si="115"/>
        <v>0</v>
      </c>
      <c r="K150" s="24">
        <f t="shared" si="116"/>
        <v>0</v>
      </c>
      <c r="L150" s="24">
        <f t="shared" si="117"/>
        <v>0</v>
      </c>
      <c r="M150" s="24">
        <v>5.9999999999999995E-4</v>
      </c>
      <c r="N150" s="46">
        <f>H150*150</f>
        <v>150</v>
      </c>
      <c r="O150" s="5"/>
      <c r="Z150" s="37">
        <f t="shared" si="118"/>
        <v>0</v>
      </c>
      <c r="AB150" s="37">
        <f t="shared" si="119"/>
        <v>0</v>
      </c>
      <c r="AC150" s="37">
        <f t="shared" si="120"/>
        <v>0</v>
      </c>
      <c r="AD150" s="37">
        <f t="shared" si="121"/>
        <v>0</v>
      </c>
      <c r="AE150" s="37">
        <f t="shared" si="122"/>
        <v>0</v>
      </c>
      <c r="AF150" s="37">
        <f t="shared" si="123"/>
        <v>0</v>
      </c>
      <c r="AG150" s="37">
        <f t="shared" si="124"/>
        <v>0</v>
      </c>
      <c r="AH150" s="37">
        <f t="shared" si="125"/>
        <v>0</v>
      </c>
      <c r="AI150" s="35"/>
      <c r="AJ150" s="24">
        <f t="shared" si="126"/>
        <v>0</v>
      </c>
      <c r="AK150" s="24">
        <f t="shared" si="127"/>
        <v>0</v>
      </c>
      <c r="AL150" s="24">
        <f t="shared" si="128"/>
        <v>0</v>
      </c>
      <c r="AN150" s="37">
        <v>21</v>
      </c>
      <c r="AO150" s="37">
        <f>I150*0.972398190045249</f>
        <v>0</v>
      </c>
      <c r="AP150" s="37">
        <f>I150*(1-0.972398190045249)</f>
        <v>0</v>
      </c>
      <c r="AQ150" s="38" t="s">
        <v>13</v>
      </c>
      <c r="AV150" s="37">
        <f t="shared" si="129"/>
        <v>0</v>
      </c>
      <c r="AW150" s="37">
        <f t="shared" si="130"/>
        <v>0</v>
      </c>
      <c r="AX150" s="37">
        <f t="shared" si="131"/>
        <v>0</v>
      </c>
      <c r="AY150" s="40" t="s">
        <v>1211</v>
      </c>
      <c r="AZ150" s="40" t="s">
        <v>1255</v>
      </c>
      <c r="BA150" s="35" t="s">
        <v>1262</v>
      </c>
      <c r="BC150" s="37">
        <f t="shared" si="132"/>
        <v>0</v>
      </c>
      <c r="BD150" s="37">
        <f t="shared" si="133"/>
        <v>0</v>
      </c>
      <c r="BE150" s="37">
        <v>0</v>
      </c>
      <c r="BF150" s="37">
        <f t="shared" si="134"/>
        <v>150</v>
      </c>
      <c r="BH150" s="24">
        <f t="shared" si="135"/>
        <v>0</v>
      </c>
      <c r="BI150" s="24">
        <f t="shared" si="136"/>
        <v>0</v>
      </c>
      <c r="BJ150" s="24">
        <f t="shared" si="137"/>
        <v>0</v>
      </c>
      <c r="BK150" s="24" t="s">
        <v>1267</v>
      </c>
      <c r="BL150" s="37">
        <v>723</v>
      </c>
    </row>
    <row r="151" spans="1:64" x14ac:dyDescent="0.25">
      <c r="A151" s="4" t="s">
        <v>101</v>
      </c>
      <c r="B151" s="14" t="s">
        <v>440</v>
      </c>
      <c r="C151" s="130" t="s">
        <v>828</v>
      </c>
      <c r="D151" s="131"/>
      <c r="E151" s="131"/>
      <c r="F151" s="131"/>
      <c r="G151" s="14" t="s">
        <v>1170</v>
      </c>
      <c r="H151" s="24">
        <v>1</v>
      </c>
      <c r="I151" s="24">
        <v>0</v>
      </c>
      <c r="J151" s="24">
        <f t="shared" si="115"/>
        <v>0</v>
      </c>
      <c r="K151" s="24">
        <f t="shared" si="116"/>
        <v>0</v>
      </c>
      <c r="L151" s="24">
        <f t="shared" si="117"/>
        <v>0</v>
      </c>
      <c r="M151" s="24">
        <v>3.0000000000000001E-5</v>
      </c>
      <c r="N151" s="46">
        <f>H151*151</f>
        <v>151</v>
      </c>
      <c r="O151" s="5"/>
      <c r="Z151" s="37">
        <f t="shared" si="118"/>
        <v>0</v>
      </c>
      <c r="AB151" s="37">
        <f t="shared" si="119"/>
        <v>0</v>
      </c>
      <c r="AC151" s="37">
        <f t="shared" si="120"/>
        <v>0</v>
      </c>
      <c r="AD151" s="37">
        <f t="shared" si="121"/>
        <v>0</v>
      </c>
      <c r="AE151" s="37">
        <f t="shared" si="122"/>
        <v>0</v>
      </c>
      <c r="AF151" s="37">
        <f t="shared" si="123"/>
        <v>0</v>
      </c>
      <c r="AG151" s="37">
        <f t="shared" si="124"/>
        <v>0</v>
      </c>
      <c r="AH151" s="37">
        <f t="shared" si="125"/>
        <v>0</v>
      </c>
      <c r="AI151" s="35"/>
      <c r="AJ151" s="24">
        <f t="shared" si="126"/>
        <v>0</v>
      </c>
      <c r="AK151" s="24">
        <f t="shared" si="127"/>
        <v>0</v>
      </c>
      <c r="AL151" s="24">
        <f t="shared" si="128"/>
        <v>0</v>
      </c>
      <c r="AN151" s="37">
        <v>21</v>
      </c>
      <c r="AO151" s="37">
        <f>I151*0.949327817993795</f>
        <v>0</v>
      </c>
      <c r="AP151" s="37">
        <f>I151*(1-0.949327817993795)</f>
        <v>0</v>
      </c>
      <c r="AQ151" s="38" t="s">
        <v>13</v>
      </c>
      <c r="AV151" s="37">
        <f t="shared" si="129"/>
        <v>0</v>
      </c>
      <c r="AW151" s="37">
        <f t="shared" si="130"/>
        <v>0</v>
      </c>
      <c r="AX151" s="37">
        <f t="shared" si="131"/>
        <v>0</v>
      </c>
      <c r="AY151" s="40" t="s">
        <v>1211</v>
      </c>
      <c r="AZ151" s="40" t="s">
        <v>1255</v>
      </c>
      <c r="BA151" s="35" t="s">
        <v>1262</v>
      </c>
      <c r="BC151" s="37">
        <f t="shared" si="132"/>
        <v>0</v>
      </c>
      <c r="BD151" s="37">
        <f t="shared" si="133"/>
        <v>0</v>
      </c>
      <c r="BE151" s="37">
        <v>0</v>
      </c>
      <c r="BF151" s="37">
        <f t="shared" si="134"/>
        <v>151</v>
      </c>
      <c r="BH151" s="24">
        <f t="shared" si="135"/>
        <v>0</v>
      </c>
      <c r="BI151" s="24">
        <f t="shared" si="136"/>
        <v>0</v>
      </c>
      <c r="BJ151" s="24">
        <f t="shared" si="137"/>
        <v>0</v>
      </c>
      <c r="BK151" s="24" t="s">
        <v>1267</v>
      </c>
      <c r="BL151" s="37">
        <v>723</v>
      </c>
    </row>
    <row r="152" spans="1:64" x14ac:dyDescent="0.25">
      <c r="A152" s="5"/>
      <c r="C152" s="18"/>
      <c r="F152" s="20" t="s">
        <v>1140</v>
      </c>
      <c r="H152" s="25">
        <v>0</v>
      </c>
      <c r="N152" s="36"/>
      <c r="O152" s="5"/>
    </row>
    <row r="153" spans="1:64" x14ac:dyDescent="0.25">
      <c r="A153" s="4" t="s">
        <v>102</v>
      </c>
      <c r="B153" s="14" t="s">
        <v>441</v>
      </c>
      <c r="C153" s="130" t="s">
        <v>829</v>
      </c>
      <c r="D153" s="131"/>
      <c r="E153" s="131"/>
      <c r="F153" s="131"/>
      <c r="G153" s="14" t="s">
        <v>1170</v>
      </c>
      <c r="H153" s="24">
        <v>1</v>
      </c>
      <c r="I153" s="24">
        <v>0</v>
      </c>
      <c r="J153" s="24">
        <f>H153*AO153</f>
        <v>0</v>
      </c>
      <c r="K153" s="24">
        <f>H153*AP153</f>
        <v>0</v>
      </c>
      <c r="L153" s="24">
        <f>H153*I153</f>
        <v>0</v>
      </c>
      <c r="M153" s="24">
        <v>0</v>
      </c>
      <c r="N153" s="46">
        <f>H153*153</f>
        <v>153</v>
      </c>
      <c r="O153" s="5"/>
      <c r="Z153" s="37">
        <f>IF(AQ153="5",BJ153,0)</f>
        <v>0</v>
      </c>
      <c r="AB153" s="37">
        <f>IF(AQ153="1",BH153,0)</f>
        <v>0</v>
      </c>
      <c r="AC153" s="37">
        <f>IF(AQ153="1",BI153,0)</f>
        <v>0</v>
      </c>
      <c r="AD153" s="37">
        <f>IF(AQ153="7",BH153,0)</f>
        <v>0</v>
      </c>
      <c r="AE153" s="37">
        <f>IF(AQ153="7",BI153,0)</f>
        <v>0</v>
      </c>
      <c r="AF153" s="37">
        <f>IF(AQ153="2",BH153,0)</f>
        <v>0</v>
      </c>
      <c r="AG153" s="37">
        <f>IF(AQ153="2",BI153,0)</f>
        <v>0</v>
      </c>
      <c r="AH153" s="37">
        <f>IF(AQ153="0",BJ153,0)</f>
        <v>0</v>
      </c>
      <c r="AI153" s="35"/>
      <c r="AJ153" s="24">
        <f>IF(AN153=0,L153,0)</f>
        <v>0</v>
      </c>
      <c r="AK153" s="24">
        <f>IF(AN153=15,L153,0)</f>
        <v>0</v>
      </c>
      <c r="AL153" s="24">
        <f>IF(AN153=21,L153,0)</f>
        <v>0</v>
      </c>
      <c r="AN153" s="37">
        <v>21</v>
      </c>
      <c r="AO153" s="37">
        <f>I153*0.549645390070922</f>
        <v>0</v>
      </c>
      <c r="AP153" s="37">
        <f>I153*(1-0.549645390070922)</f>
        <v>0</v>
      </c>
      <c r="AQ153" s="38" t="s">
        <v>13</v>
      </c>
      <c r="AV153" s="37">
        <f>AW153+AX153</f>
        <v>0</v>
      </c>
      <c r="AW153" s="37">
        <f>H153*AO153</f>
        <v>0</v>
      </c>
      <c r="AX153" s="37">
        <f>H153*AP153</f>
        <v>0</v>
      </c>
      <c r="AY153" s="40" t="s">
        <v>1211</v>
      </c>
      <c r="AZ153" s="40" t="s">
        <v>1255</v>
      </c>
      <c r="BA153" s="35" t="s">
        <v>1262</v>
      </c>
      <c r="BC153" s="37">
        <f>AW153+AX153</f>
        <v>0</v>
      </c>
      <c r="BD153" s="37">
        <f>I153/(100-BE153)*100</f>
        <v>0</v>
      </c>
      <c r="BE153" s="37">
        <v>0</v>
      </c>
      <c r="BF153" s="37">
        <f>N153</f>
        <v>153</v>
      </c>
      <c r="BH153" s="24">
        <f>H153*AO153</f>
        <v>0</v>
      </c>
      <c r="BI153" s="24">
        <f>H153*AP153</f>
        <v>0</v>
      </c>
      <c r="BJ153" s="24">
        <f>H153*I153</f>
        <v>0</v>
      </c>
      <c r="BK153" s="24" t="s">
        <v>1267</v>
      </c>
      <c r="BL153" s="37">
        <v>723</v>
      </c>
    </row>
    <row r="154" spans="1:64" x14ac:dyDescent="0.25">
      <c r="A154" s="6"/>
      <c r="B154" s="15" t="s">
        <v>442</v>
      </c>
      <c r="C154" s="132" t="s">
        <v>830</v>
      </c>
      <c r="D154" s="133"/>
      <c r="E154" s="133"/>
      <c r="F154" s="133"/>
      <c r="G154" s="22" t="s">
        <v>6</v>
      </c>
      <c r="H154" s="22" t="s">
        <v>6</v>
      </c>
      <c r="I154" s="22" t="s">
        <v>6</v>
      </c>
      <c r="J154" s="43">
        <f>SUM(J155:J187)</f>
        <v>0</v>
      </c>
      <c r="K154" s="43">
        <f>SUM(K155:K187)</f>
        <v>0</v>
      </c>
      <c r="L154" s="43">
        <f>SUM(L155:L187)</f>
        <v>0</v>
      </c>
      <c r="M154" s="35"/>
      <c r="N154" s="47">
        <f>SUM(N155:N187)</f>
        <v>14605</v>
      </c>
      <c r="O154" s="5"/>
      <c r="AI154" s="35"/>
      <c r="AS154" s="43">
        <f>SUM(AJ155:AJ187)</f>
        <v>0</v>
      </c>
      <c r="AT154" s="43">
        <f>SUM(AK155:AK187)</f>
        <v>0</v>
      </c>
      <c r="AU154" s="43">
        <f>SUM(AL155:AL187)</f>
        <v>0</v>
      </c>
    </row>
    <row r="155" spans="1:64" x14ac:dyDescent="0.25">
      <c r="A155" s="4" t="s">
        <v>103</v>
      </c>
      <c r="B155" s="14" t="s">
        <v>443</v>
      </c>
      <c r="C155" s="130" t="s">
        <v>831</v>
      </c>
      <c r="D155" s="131"/>
      <c r="E155" s="131"/>
      <c r="F155" s="131"/>
      <c r="G155" s="14" t="s">
        <v>1170</v>
      </c>
      <c r="H155" s="24">
        <v>3</v>
      </c>
      <c r="I155" s="24">
        <v>0</v>
      </c>
      <c r="J155" s="24">
        <f t="shared" ref="J155:J162" si="138">H155*AO155</f>
        <v>0</v>
      </c>
      <c r="K155" s="24">
        <f t="shared" ref="K155:K162" si="139">H155*AP155</f>
        <v>0</v>
      </c>
      <c r="L155" s="24">
        <f t="shared" ref="L155:L162" si="140">H155*I155</f>
        <v>0</v>
      </c>
      <c r="M155" s="24">
        <v>0</v>
      </c>
      <c r="N155" s="46">
        <f>H155*155</f>
        <v>465</v>
      </c>
      <c r="O155" s="5"/>
      <c r="Z155" s="37">
        <f t="shared" ref="Z155:Z162" si="141">IF(AQ155="5",BJ155,0)</f>
        <v>0</v>
      </c>
      <c r="AB155" s="37">
        <f t="shared" ref="AB155:AB162" si="142">IF(AQ155="1",BH155,0)</f>
        <v>0</v>
      </c>
      <c r="AC155" s="37">
        <f t="shared" ref="AC155:AC162" si="143">IF(AQ155="1",BI155,0)</f>
        <v>0</v>
      </c>
      <c r="AD155" s="37">
        <f t="shared" ref="AD155:AD162" si="144">IF(AQ155="7",BH155,0)</f>
        <v>0</v>
      </c>
      <c r="AE155" s="37">
        <f t="shared" ref="AE155:AE162" si="145">IF(AQ155="7",BI155,0)</f>
        <v>0</v>
      </c>
      <c r="AF155" s="37">
        <f t="shared" ref="AF155:AF162" si="146">IF(AQ155="2",BH155,0)</f>
        <v>0</v>
      </c>
      <c r="AG155" s="37">
        <f t="shared" ref="AG155:AG162" si="147">IF(AQ155="2",BI155,0)</f>
        <v>0</v>
      </c>
      <c r="AH155" s="37">
        <f t="shared" ref="AH155:AH162" si="148">IF(AQ155="0",BJ155,0)</f>
        <v>0</v>
      </c>
      <c r="AI155" s="35"/>
      <c r="AJ155" s="24">
        <f t="shared" ref="AJ155:AJ162" si="149">IF(AN155=0,L155,0)</f>
        <v>0</v>
      </c>
      <c r="AK155" s="24">
        <f t="shared" ref="AK155:AK162" si="150">IF(AN155=15,L155,0)</f>
        <v>0</v>
      </c>
      <c r="AL155" s="24">
        <f t="shared" ref="AL155:AL162" si="151">IF(AN155=21,L155,0)</f>
        <v>0</v>
      </c>
      <c r="AN155" s="37">
        <v>21</v>
      </c>
      <c r="AO155" s="37">
        <f>I155*0</f>
        <v>0</v>
      </c>
      <c r="AP155" s="37">
        <f>I155*(1-0)</f>
        <v>0</v>
      </c>
      <c r="AQ155" s="38" t="s">
        <v>13</v>
      </c>
      <c r="AV155" s="37">
        <f t="shared" ref="AV155:AV162" si="152">AW155+AX155</f>
        <v>0</v>
      </c>
      <c r="AW155" s="37">
        <f t="shared" ref="AW155:AW162" si="153">H155*AO155</f>
        <v>0</v>
      </c>
      <c r="AX155" s="37">
        <f t="shared" ref="AX155:AX162" si="154">H155*AP155</f>
        <v>0</v>
      </c>
      <c r="AY155" s="40" t="s">
        <v>1212</v>
      </c>
      <c r="AZ155" s="40" t="s">
        <v>1256</v>
      </c>
      <c r="BA155" s="35" t="s">
        <v>1262</v>
      </c>
      <c r="BC155" s="37">
        <f t="shared" ref="BC155:BC162" si="155">AW155+AX155</f>
        <v>0</v>
      </c>
      <c r="BD155" s="37">
        <f t="shared" ref="BD155:BD162" si="156">I155/(100-BE155)*100</f>
        <v>0</v>
      </c>
      <c r="BE155" s="37">
        <v>0</v>
      </c>
      <c r="BF155" s="37">
        <f t="shared" ref="BF155:BF162" si="157">N155</f>
        <v>465</v>
      </c>
      <c r="BH155" s="24">
        <f t="shared" ref="BH155:BH162" si="158">H155*AO155</f>
        <v>0</v>
      </c>
      <c r="BI155" s="24">
        <f t="shared" ref="BI155:BI162" si="159">H155*AP155</f>
        <v>0</v>
      </c>
      <c r="BJ155" s="24">
        <f t="shared" ref="BJ155:BJ162" si="160">H155*I155</f>
        <v>0</v>
      </c>
      <c r="BK155" s="24" t="s">
        <v>1267</v>
      </c>
      <c r="BL155" s="37">
        <v>731</v>
      </c>
    </row>
    <row r="156" spans="1:64" x14ac:dyDescent="0.25">
      <c r="A156" s="4" t="s">
        <v>104</v>
      </c>
      <c r="B156" s="14" t="s">
        <v>444</v>
      </c>
      <c r="C156" s="130" t="s">
        <v>832</v>
      </c>
      <c r="D156" s="131"/>
      <c r="E156" s="131"/>
      <c r="F156" s="131"/>
      <c r="G156" s="14" t="s">
        <v>1170</v>
      </c>
      <c r="H156" s="24">
        <v>2</v>
      </c>
      <c r="I156" s="24">
        <v>0</v>
      </c>
      <c r="J156" s="24">
        <f t="shared" si="138"/>
        <v>0</v>
      </c>
      <c r="K156" s="24">
        <f t="shared" si="139"/>
        <v>0</v>
      </c>
      <c r="L156" s="24">
        <f t="shared" si="140"/>
        <v>0</v>
      </c>
      <c r="M156" s="24">
        <v>1E-4</v>
      </c>
      <c r="N156" s="46">
        <f>H156*156</f>
        <v>312</v>
      </c>
      <c r="O156" s="5"/>
      <c r="Z156" s="37">
        <f t="shared" si="141"/>
        <v>0</v>
      </c>
      <c r="AB156" s="37">
        <f t="shared" si="142"/>
        <v>0</v>
      </c>
      <c r="AC156" s="37">
        <f t="shared" si="143"/>
        <v>0</v>
      </c>
      <c r="AD156" s="37">
        <f t="shared" si="144"/>
        <v>0</v>
      </c>
      <c r="AE156" s="37">
        <f t="shared" si="145"/>
        <v>0</v>
      </c>
      <c r="AF156" s="37">
        <f t="shared" si="146"/>
        <v>0</v>
      </c>
      <c r="AG156" s="37">
        <f t="shared" si="147"/>
        <v>0</v>
      </c>
      <c r="AH156" s="37">
        <f t="shared" si="148"/>
        <v>0</v>
      </c>
      <c r="AI156" s="35"/>
      <c r="AJ156" s="24">
        <f t="shared" si="149"/>
        <v>0</v>
      </c>
      <c r="AK156" s="24">
        <f t="shared" si="150"/>
        <v>0</v>
      </c>
      <c r="AL156" s="24">
        <f t="shared" si="151"/>
        <v>0</v>
      </c>
      <c r="AN156" s="37">
        <v>21</v>
      </c>
      <c r="AO156" s="37">
        <f>I156*0.00425904761904762</f>
        <v>0</v>
      </c>
      <c r="AP156" s="37">
        <f>I156*(1-0.00425904761904762)</f>
        <v>0</v>
      </c>
      <c r="AQ156" s="38" t="s">
        <v>13</v>
      </c>
      <c r="AV156" s="37">
        <f t="shared" si="152"/>
        <v>0</v>
      </c>
      <c r="AW156" s="37">
        <f t="shared" si="153"/>
        <v>0</v>
      </c>
      <c r="AX156" s="37">
        <f t="shared" si="154"/>
        <v>0</v>
      </c>
      <c r="AY156" s="40" t="s">
        <v>1212</v>
      </c>
      <c r="AZ156" s="40" t="s">
        <v>1256</v>
      </c>
      <c r="BA156" s="35" t="s">
        <v>1262</v>
      </c>
      <c r="BC156" s="37">
        <f t="shared" si="155"/>
        <v>0</v>
      </c>
      <c r="BD156" s="37">
        <f t="shared" si="156"/>
        <v>0</v>
      </c>
      <c r="BE156" s="37">
        <v>0</v>
      </c>
      <c r="BF156" s="37">
        <f t="shared" si="157"/>
        <v>312</v>
      </c>
      <c r="BH156" s="24">
        <f t="shared" si="158"/>
        <v>0</v>
      </c>
      <c r="BI156" s="24">
        <f t="shared" si="159"/>
        <v>0</v>
      </c>
      <c r="BJ156" s="24">
        <f t="shared" si="160"/>
        <v>0</v>
      </c>
      <c r="BK156" s="24" t="s">
        <v>1267</v>
      </c>
      <c r="BL156" s="37">
        <v>731</v>
      </c>
    </row>
    <row r="157" spans="1:64" x14ac:dyDescent="0.25">
      <c r="A157" s="4" t="s">
        <v>105</v>
      </c>
      <c r="B157" s="14" t="s">
        <v>445</v>
      </c>
      <c r="C157" s="130" t="s">
        <v>833</v>
      </c>
      <c r="D157" s="131"/>
      <c r="E157" s="131"/>
      <c r="F157" s="131"/>
      <c r="G157" s="14" t="s">
        <v>1170</v>
      </c>
      <c r="H157" s="24">
        <v>1</v>
      </c>
      <c r="I157" s="24">
        <v>0</v>
      </c>
      <c r="J157" s="24">
        <f t="shared" si="138"/>
        <v>0</v>
      </c>
      <c r="K157" s="24">
        <f t="shared" si="139"/>
        <v>0</v>
      </c>
      <c r="L157" s="24">
        <f t="shared" si="140"/>
        <v>0</v>
      </c>
      <c r="M157" s="24">
        <v>6.4999999999999997E-4</v>
      </c>
      <c r="N157" s="46">
        <f>H157*157</f>
        <v>157</v>
      </c>
      <c r="O157" s="5"/>
      <c r="Z157" s="37">
        <f t="shared" si="141"/>
        <v>0</v>
      </c>
      <c r="AB157" s="37">
        <f t="shared" si="142"/>
        <v>0</v>
      </c>
      <c r="AC157" s="37">
        <f t="shared" si="143"/>
        <v>0</v>
      </c>
      <c r="AD157" s="37">
        <f t="shared" si="144"/>
        <v>0</v>
      </c>
      <c r="AE157" s="37">
        <f t="shared" si="145"/>
        <v>0</v>
      </c>
      <c r="AF157" s="37">
        <f t="shared" si="146"/>
        <v>0</v>
      </c>
      <c r="AG157" s="37">
        <f t="shared" si="147"/>
        <v>0</v>
      </c>
      <c r="AH157" s="37">
        <f t="shared" si="148"/>
        <v>0</v>
      </c>
      <c r="AI157" s="35"/>
      <c r="AJ157" s="24">
        <f t="shared" si="149"/>
        <v>0</v>
      </c>
      <c r="AK157" s="24">
        <f t="shared" si="150"/>
        <v>0</v>
      </c>
      <c r="AL157" s="24">
        <f t="shared" si="151"/>
        <v>0</v>
      </c>
      <c r="AN157" s="37">
        <v>21</v>
      </c>
      <c r="AO157" s="37">
        <f>I157*0.00711578947368421</f>
        <v>0</v>
      </c>
      <c r="AP157" s="37">
        <f>I157*(1-0.00711578947368421)</f>
        <v>0</v>
      </c>
      <c r="AQ157" s="38" t="s">
        <v>13</v>
      </c>
      <c r="AV157" s="37">
        <f t="shared" si="152"/>
        <v>0</v>
      </c>
      <c r="AW157" s="37">
        <f t="shared" si="153"/>
        <v>0</v>
      </c>
      <c r="AX157" s="37">
        <f t="shared" si="154"/>
        <v>0</v>
      </c>
      <c r="AY157" s="40" t="s">
        <v>1212</v>
      </c>
      <c r="AZ157" s="40" t="s">
        <v>1256</v>
      </c>
      <c r="BA157" s="35" t="s">
        <v>1262</v>
      </c>
      <c r="BC157" s="37">
        <f t="shared" si="155"/>
        <v>0</v>
      </c>
      <c r="BD157" s="37">
        <f t="shared" si="156"/>
        <v>0</v>
      </c>
      <c r="BE157" s="37">
        <v>0</v>
      </c>
      <c r="BF157" s="37">
        <f t="shared" si="157"/>
        <v>157</v>
      </c>
      <c r="BH157" s="24">
        <f t="shared" si="158"/>
        <v>0</v>
      </c>
      <c r="BI157" s="24">
        <f t="shared" si="159"/>
        <v>0</v>
      </c>
      <c r="BJ157" s="24">
        <f t="shared" si="160"/>
        <v>0</v>
      </c>
      <c r="BK157" s="24" t="s">
        <v>1267</v>
      </c>
      <c r="BL157" s="37">
        <v>731</v>
      </c>
    </row>
    <row r="158" spans="1:64" x14ac:dyDescent="0.25">
      <c r="A158" s="4" t="s">
        <v>106</v>
      </c>
      <c r="B158" s="14" t="s">
        <v>446</v>
      </c>
      <c r="C158" s="130" t="s">
        <v>834</v>
      </c>
      <c r="D158" s="131"/>
      <c r="E158" s="131"/>
      <c r="F158" s="131"/>
      <c r="G158" s="14" t="s">
        <v>1170</v>
      </c>
      <c r="H158" s="24">
        <v>2</v>
      </c>
      <c r="I158" s="24">
        <v>0</v>
      </c>
      <c r="J158" s="24">
        <f t="shared" si="138"/>
        <v>0</v>
      </c>
      <c r="K158" s="24">
        <f t="shared" si="139"/>
        <v>0</v>
      </c>
      <c r="L158" s="24">
        <f t="shared" si="140"/>
        <v>0</v>
      </c>
      <c r="M158" s="24">
        <v>7.7099999999999998E-3</v>
      </c>
      <c r="N158" s="46">
        <f>H158*158</f>
        <v>316</v>
      </c>
      <c r="O158" s="5"/>
      <c r="Z158" s="37">
        <f t="shared" si="141"/>
        <v>0</v>
      </c>
      <c r="AB158" s="37">
        <f t="shared" si="142"/>
        <v>0</v>
      </c>
      <c r="AC158" s="37">
        <f t="shared" si="143"/>
        <v>0</v>
      </c>
      <c r="AD158" s="37">
        <f t="shared" si="144"/>
        <v>0</v>
      </c>
      <c r="AE158" s="37">
        <f t="shared" si="145"/>
        <v>0</v>
      </c>
      <c r="AF158" s="37">
        <f t="shared" si="146"/>
        <v>0</v>
      </c>
      <c r="AG158" s="37">
        <f t="shared" si="147"/>
        <v>0</v>
      </c>
      <c r="AH158" s="37">
        <f t="shared" si="148"/>
        <v>0</v>
      </c>
      <c r="AI158" s="35"/>
      <c r="AJ158" s="24">
        <f t="shared" si="149"/>
        <v>0</v>
      </c>
      <c r="AK158" s="24">
        <f t="shared" si="150"/>
        <v>0</v>
      </c>
      <c r="AL158" s="24">
        <f t="shared" si="151"/>
        <v>0</v>
      </c>
      <c r="AN158" s="37">
        <v>21</v>
      </c>
      <c r="AO158" s="37">
        <f>I158*0</f>
        <v>0</v>
      </c>
      <c r="AP158" s="37">
        <f>I158*(1-0)</f>
        <v>0</v>
      </c>
      <c r="AQ158" s="38" t="s">
        <v>13</v>
      </c>
      <c r="AV158" s="37">
        <f t="shared" si="152"/>
        <v>0</v>
      </c>
      <c r="AW158" s="37">
        <f t="shared" si="153"/>
        <v>0</v>
      </c>
      <c r="AX158" s="37">
        <f t="shared" si="154"/>
        <v>0</v>
      </c>
      <c r="AY158" s="40" t="s">
        <v>1212</v>
      </c>
      <c r="AZ158" s="40" t="s">
        <v>1256</v>
      </c>
      <c r="BA158" s="35" t="s">
        <v>1262</v>
      </c>
      <c r="BC158" s="37">
        <f t="shared" si="155"/>
        <v>0</v>
      </c>
      <c r="BD158" s="37">
        <f t="shared" si="156"/>
        <v>0</v>
      </c>
      <c r="BE158" s="37">
        <v>0</v>
      </c>
      <c r="BF158" s="37">
        <f t="shared" si="157"/>
        <v>316</v>
      </c>
      <c r="BH158" s="24">
        <f t="shared" si="158"/>
        <v>0</v>
      </c>
      <c r="BI158" s="24">
        <f t="shared" si="159"/>
        <v>0</v>
      </c>
      <c r="BJ158" s="24">
        <f t="shared" si="160"/>
        <v>0</v>
      </c>
      <c r="BK158" s="24" t="s">
        <v>1267</v>
      </c>
      <c r="BL158" s="37">
        <v>731</v>
      </c>
    </row>
    <row r="159" spans="1:64" x14ac:dyDescent="0.25">
      <c r="A159" s="7" t="s">
        <v>107</v>
      </c>
      <c r="B159" s="16" t="s">
        <v>447</v>
      </c>
      <c r="C159" s="134" t="s">
        <v>835</v>
      </c>
      <c r="D159" s="135"/>
      <c r="E159" s="135"/>
      <c r="F159" s="135"/>
      <c r="G159" s="16" t="s">
        <v>1170</v>
      </c>
      <c r="H159" s="26">
        <v>1</v>
      </c>
      <c r="I159" s="26">
        <v>0</v>
      </c>
      <c r="J159" s="26">
        <f t="shared" si="138"/>
        <v>0</v>
      </c>
      <c r="K159" s="26">
        <f t="shared" si="139"/>
        <v>0</v>
      </c>
      <c r="L159" s="26">
        <f t="shared" si="140"/>
        <v>0</v>
      </c>
      <c r="M159" s="26">
        <v>0.13200000000000001</v>
      </c>
      <c r="N159" s="48">
        <f>H159*159</f>
        <v>159</v>
      </c>
      <c r="O159" s="5"/>
      <c r="Z159" s="37">
        <f t="shared" si="141"/>
        <v>0</v>
      </c>
      <c r="AB159" s="37">
        <f t="shared" si="142"/>
        <v>0</v>
      </c>
      <c r="AC159" s="37">
        <f t="shared" si="143"/>
        <v>0</v>
      </c>
      <c r="AD159" s="37">
        <f t="shared" si="144"/>
        <v>0</v>
      </c>
      <c r="AE159" s="37">
        <f t="shared" si="145"/>
        <v>0</v>
      </c>
      <c r="AF159" s="37">
        <f t="shared" si="146"/>
        <v>0</v>
      </c>
      <c r="AG159" s="37">
        <f t="shared" si="147"/>
        <v>0</v>
      </c>
      <c r="AH159" s="37">
        <f t="shared" si="148"/>
        <v>0</v>
      </c>
      <c r="AI159" s="35"/>
      <c r="AJ159" s="26">
        <f t="shared" si="149"/>
        <v>0</v>
      </c>
      <c r="AK159" s="26">
        <f t="shared" si="150"/>
        <v>0</v>
      </c>
      <c r="AL159" s="26">
        <f t="shared" si="151"/>
        <v>0</v>
      </c>
      <c r="AN159" s="37">
        <v>21</v>
      </c>
      <c r="AO159" s="37">
        <f>I159*1</f>
        <v>0</v>
      </c>
      <c r="AP159" s="37">
        <f>I159*(1-1)</f>
        <v>0</v>
      </c>
      <c r="AQ159" s="39" t="s">
        <v>13</v>
      </c>
      <c r="AV159" s="37">
        <f t="shared" si="152"/>
        <v>0</v>
      </c>
      <c r="AW159" s="37">
        <f t="shared" si="153"/>
        <v>0</v>
      </c>
      <c r="AX159" s="37">
        <f t="shared" si="154"/>
        <v>0</v>
      </c>
      <c r="AY159" s="40" t="s">
        <v>1212</v>
      </c>
      <c r="AZ159" s="40" t="s">
        <v>1256</v>
      </c>
      <c r="BA159" s="35" t="s">
        <v>1262</v>
      </c>
      <c r="BC159" s="37">
        <f t="shared" si="155"/>
        <v>0</v>
      </c>
      <c r="BD159" s="37">
        <f t="shared" si="156"/>
        <v>0</v>
      </c>
      <c r="BE159" s="37">
        <v>0</v>
      </c>
      <c r="BF159" s="37">
        <f t="shared" si="157"/>
        <v>159</v>
      </c>
      <c r="BH159" s="26">
        <f t="shared" si="158"/>
        <v>0</v>
      </c>
      <c r="BI159" s="26">
        <f t="shared" si="159"/>
        <v>0</v>
      </c>
      <c r="BJ159" s="26">
        <f t="shared" si="160"/>
        <v>0</v>
      </c>
      <c r="BK159" s="26" t="s">
        <v>1268</v>
      </c>
      <c r="BL159" s="37">
        <v>731</v>
      </c>
    </row>
    <row r="160" spans="1:64" x14ac:dyDescent="0.25">
      <c r="A160" s="7" t="s">
        <v>108</v>
      </c>
      <c r="B160" s="16" t="s">
        <v>447</v>
      </c>
      <c r="C160" s="134" t="s">
        <v>836</v>
      </c>
      <c r="D160" s="135"/>
      <c r="E160" s="135"/>
      <c r="F160" s="135"/>
      <c r="G160" s="16" t="s">
        <v>1170</v>
      </c>
      <c r="H160" s="26">
        <v>1</v>
      </c>
      <c r="I160" s="26">
        <v>0</v>
      </c>
      <c r="J160" s="26">
        <f t="shared" si="138"/>
        <v>0</v>
      </c>
      <c r="K160" s="26">
        <f t="shared" si="139"/>
        <v>0</v>
      </c>
      <c r="L160" s="26">
        <f t="shared" si="140"/>
        <v>0</v>
      </c>
      <c r="M160" s="26">
        <v>0.13200000000000001</v>
      </c>
      <c r="N160" s="48">
        <f>H160*160</f>
        <v>160</v>
      </c>
      <c r="O160" s="5"/>
      <c r="Z160" s="37">
        <f t="shared" si="141"/>
        <v>0</v>
      </c>
      <c r="AB160" s="37">
        <f t="shared" si="142"/>
        <v>0</v>
      </c>
      <c r="AC160" s="37">
        <f t="shared" si="143"/>
        <v>0</v>
      </c>
      <c r="AD160" s="37">
        <f t="shared" si="144"/>
        <v>0</v>
      </c>
      <c r="AE160" s="37">
        <f t="shared" si="145"/>
        <v>0</v>
      </c>
      <c r="AF160" s="37">
        <f t="shared" si="146"/>
        <v>0</v>
      </c>
      <c r="AG160" s="37">
        <f t="shared" si="147"/>
        <v>0</v>
      </c>
      <c r="AH160" s="37">
        <f t="shared" si="148"/>
        <v>0</v>
      </c>
      <c r="AI160" s="35"/>
      <c r="AJ160" s="26">
        <f t="shared" si="149"/>
        <v>0</v>
      </c>
      <c r="AK160" s="26">
        <f t="shared" si="150"/>
        <v>0</v>
      </c>
      <c r="AL160" s="26">
        <f t="shared" si="151"/>
        <v>0</v>
      </c>
      <c r="AN160" s="37">
        <v>21</v>
      </c>
      <c r="AO160" s="37">
        <f>I160*1</f>
        <v>0</v>
      </c>
      <c r="AP160" s="37">
        <f>I160*(1-1)</f>
        <v>0</v>
      </c>
      <c r="AQ160" s="39" t="s">
        <v>13</v>
      </c>
      <c r="AV160" s="37">
        <f t="shared" si="152"/>
        <v>0</v>
      </c>
      <c r="AW160" s="37">
        <f t="shared" si="153"/>
        <v>0</v>
      </c>
      <c r="AX160" s="37">
        <f t="shared" si="154"/>
        <v>0</v>
      </c>
      <c r="AY160" s="40" t="s">
        <v>1212</v>
      </c>
      <c r="AZ160" s="40" t="s">
        <v>1256</v>
      </c>
      <c r="BA160" s="35" t="s">
        <v>1262</v>
      </c>
      <c r="BC160" s="37">
        <f t="shared" si="155"/>
        <v>0</v>
      </c>
      <c r="BD160" s="37">
        <f t="shared" si="156"/>
        <v>0</v>
      </c>
      <c r="BE160" s="37">
        <v>0</v>
      </c>
      <c r="BF160" s="37">
        <f t="shared" si="157"/>
        <v>160</v>
      </c>
      <c r="BH160" s="26">
        <f t="shared" si="158"/>
        <v>0</v>
      </c>
      <c r="BI160" s="26">
        <f t="shared" si="159"/>
        <v>0</v>
      </c>
      <c r="BJ160" s="26">
        <f t="shared" si="160"/>
        <v>0</v>
      </c>
      <c r="BK160" s="26" t="s">
        <v>1268</v>
      </c>
      <c r="BL160" s="37">
        <v>731</v>
      </c>
    </row>
    <row r="161" spans="1:64" x14ac:dyDescent="0.25">
      <c r="A161" s="7" t="s">
        <v>109</v>
      </c>
      <c r="B161" s="16" t="s">
        <v>448</v>
      </c>
      <c r="C161" s="134" t="s">
        <v>837</v>
      </c>
      <c r="D161" s="135"/>
      <c r="E161" s="135"/>
      <c r="F161" s="135"/>
      <c r="G161" s="16" t="s">
        <v>1170</v>
      </c>
      <c r="H161" s="26">
        <v>2</v>
      </c>
      <c r="I161" s="26">
        <v>0</v>
      </c>
      <c r="J161" s="26">
        <f t="shared" si="138"/>
        <v>0</v>
      </c>
      <c r="K161" s="26">
        <f t="shared" si="139"/>
        <v>0</v>
      </c>
      <c r="L161" s="26">
        <f t="shared" si="140"/>
        <v>0</v>
      </c>
      <c r="M161" s="26">
        <v>7.0000000000000001E-3</v>
      </c>
      <c r="N161" s="48">
        <f>H161*161</f>
        <v>322</v>
      </c>
      <c r="O161" s="5"/>
      <c r="Z161" s="37">
        <f t="shared" si="141"/>
        <v>0</v>
      </c>
      <c r="AB161" s="37">
        <f t="shared" si="142"/>
        <v>0</v>
      </c>
      <c r="AC161" s="37">
        <f t="shared" si="143"/>
        <v>0</v>
      </c>
      <c r="AD161" s="37">
        <f t="shared" si="144"/>
        <v>0</v>
      </c>
      <c r="AE161" s="37">
        <f t="shared" si="145"/>
        <v>0</v>
      </c>
      <c r="AF161" s="37">
        <f t="shared" si="146"/>
        <v>0</v>
      </c>
      <c r="AG161" s="37">
        <f t="shared" si="147"/>
        <v>0</v>
      </c>
      <c r="AH161" s="37">
        <f t="shared" si="148"/>
        <v>0</v>
      </c>
      <c r="AI161" s="35"/>
      <c r="AJ161" s="26">
        <f t="shared" si="149"/>
        <v>0</v>
      </c>
      <c r="AK161" s="26">
        <f t="shared" si="150"/>
        <v>0</v>
      </c>
      <c r="AL161" s="26">
        <f t="shared" si="151"/>
        <v>0</v>
      </c>
      <c r="AN161" s="37">
        <v>21</v>
      </c>
      <c r="AO161" s="37">
        <f>I161*1</f>
        <v>0</v>
      </c>
      <c r="AP161" s="37">
        <f>I161*(1-1)</f>
        <v>0</v>
      </c>
      <c r="AQ161" s="39" t="s">
        <v>13</v>
      </c>
      <c r="AV161" s="37">
        <f t="shared" si="152"/>
        <v>0</v>
      </c>
      <c r="AW161" s="37">
        <f t="shared" si="153"/>
        <v>0</v>
      </c>
      <c r="AX161" s="37">
        <f t="shared" si="154"/>
        <v>0</v>
      </c>
      <c r="AY161" s="40" t="s">
        <v>1212</v>
      </c>
      <c r="AZ161" s="40" t="s">
        <v>1256</v>
      </c>
      <c r="BA161" s="35" t="s">
        <v>1262</v>
      </c>
      <c r="BC161" s="37">
        <f t="shared" si="155"/>
        <v>0</v>
      </c>
      <c r="BD161" s="37">
        <f t="shared" si="156"/>
        <v>0</v>
      </c>
      <c r="BE161" s="37">
        <v>0</v>
      </c>
      <c r="BF161" s="37">
        <f t="shared" si="157"/>
        <v>322</v>
      </c>
      <c r="BH161" s="26">
        <f t="shared" si="158"/>
        <v>0</v>
      </c>
      <c r="BI161" s="26">
        <f t="shared" si="159"/>
        <v>0</v>
      </c>
      <c r="BJ161" s="26">
        <f t="shared" si="160"/>
        <v>0</v>
      </c>
      <c r="BK161" s="26" t="s">
        <v>1268</v>
      </c>
      <c r="BL161" s="37">
        <v>731</v>
      </c>
    </row>
    <row r="162" spans="1:64" x14ac:dyDescent="0.25">
      <c r="A162" s="4" t="s">
        <v>110</v>
      </c>
      <c r="B162" s="14" t="s">
        <v>449</v>
      </c>
      <c r="C162" s="130" t="s">
        <v>838</v>
      </c>
      <c r="D162" s="131"/>
      <c r="E162" s="131"/>
      <c r="F162" s="131"/>
      <c r="G162" s="14" t="s">
        <v>1170</v>
      </c>
      <c r="H162" s="24">
        <v>2</v>
      </c>
      <c r="I162" s="24">
        <v>0</v>
      </c>
      <c r="J162" s="24">
        <f t="shared" si="138"/>
        <v>0</v>
      </c>
      <c r="K162" s="24">
        <f t="shared" si="139"/>
        <v>0</v>
      </c>
      <c r="L162" s="24">
        <f t="shared" si="140"/>
        <v>0</v>
      </c>
      <c r="M162" s="24">
        <v>2.9299999999999999E-3</v>
      </c>
      <c r="N162" s="46">
        <f>H162*162</f>
        <v>324</v>
      </c>
      <c r="O162" s="5"/>
      <c r="Z162" s="37">
        <f t="shared" si="141"/>
        <v>0</v>
      </c>
      <c r="AB162" s="37">
        <f t="shared" si="142"/>
        <v>0</v>
      </c>
      <c r="AC162" s="37">
        <f t="shared" si="143"/>
        <v>0</v>
      </c>
      <c r="AD162" s="37">
        <f t="shared" si="144"/>
        <v>0</v>
      </c>
      <c r="AE162" s="37">
        <f t="shared" si="145"/>
        <v>0</v>
      </c>
      <c r="AF162" s="37">
        <f t="shared" si="146"/>
        <v>0</v>
      </c>
      <c r="AG162" s="37">
        <f t="shared" si="147"/>
        <v>0</v>
      </c>
      <c r="AH162" s="37">
        <f t="shared" si="148"/>
        <v>0</v>
      </c>
      <c r="AI162" s="35"/>
      <c r="AJ162" s="24">
        <f t="shared" si="149"/>
        <v>0</v>
      </c>
      <c r="AK162" s="24">
        <f t="shared" si="150"/>
        <v>0</v>
      </c>
      <c r="AL162" s="24">
        <f t="shared" si="151"/>
        <v>0</v>
      </c>
      <c r="AN162" s="37">
        <v>21</v>
      </c>
      <c r="AO162" s="37">
        <f>I162*0.9247889485802</f>
        <v>0</v>
      </c>
      <c r="AP162" s="37">
        <f>I162*(1-0.9247889485802)</f>
        <v>0</v>
      </c>
      <c r="AQ162" s="38" t="s">
        <v>13</v>
      </c>
      <c r="AV162" s="37">
        <f t="shared" si="152"/>
        <v>0</v>
      </c>
      <c r="AW162" s="37">
        <f t="shared" si="153"/>
        <v>0</v>
      </c>
      <c r="AX162" s="37">
        <f t="shared" si="154"/>
        <v>0</v>
      </c>
      <c r="AY162" s="40" t="s">
        <v>1212</v>
      </c>
      <c r="AZ162" s="40" t="s">
        <v>1256</v>
      </c>
      <c r="BA162" s="35" t="s">
        <v>1262</v>
      </c>
      <c r="BC162" s="37">
        <f t="shared" si="155"/>
        <v>0</v>
      </c>
      <c r="BD162" s="37">
        <f t="shared" si="156"/>
        <v>0</v>
      </c>
      <c r="BE162" s="37">
        <v>0</v>
      </c>
      <c r="BF162" s="37">
        <f t="shared" si="157"/>
        <v>324</v>
      </c>
      <c r="BH162" s="24">
        <f t="shared" si="158"/>
        <v>0</v>
      </c>
      <c r="BI162" s="24">
        <f t="shared" si="159"/>
        <v>0</v>
      </c>
      <c r="BJ162" s="24">
        <f t="shared" si="160"/>
        <v>0</v>
      </c>
      <c r="BK162" s="24" t="s">
        <v>1267</v>
      </c>
      <c r="BL162" s="37">
        <v>731</v>
      </c>
    </row>
    <row r="163" spans="1:64" x14ac:dyDescent="0.25">
      <c r="A163" s="5"/>
      <c r="C163" s="18" t="s">
        <v>8</v>
      </c>
      <c r="F163" s="20" t="s">
        <v>1141</v>
      </c>
      <c r="H163" s="25">
        <v>2</v>
      </c>
      <c r="N163" s="36"/>
      <c r="O163" s="5"/>
    </row>
    <row r="164" spans="1:64" x14ac:dyDescent="0.25">
      <c r="A164" s="4" t="s">
        <v>111</v>
      </c>
      <c r="B164" s="14" t="s">
        <v>450</v>
      </c>
      <c r="C164" s="130" t="s">
        <v>839</v>
      </c>
      <c r="D164" s="131"/>
      <c r="E164" s="131"/>
      <c r="F164" s="131"/>
      <c r="G164" s="14" t="s">
        <v>1170</v>
      </c>
      <c r="H164" s="24">
        <v>2</v>
      </c>
      <c r="I164" s="24">
        <v>0</v>
      </c>
      <c r="J164" s="24">
        <f t="shared" ref="J164:J187" si="161">H164*AO164</f>
        <v>0</v>
      </c>
      <c r="K164" s="24">
        <f t="shared" ref="K164:K187" si="162">H164*AP164</f>
        <v>0</v>
      </c>
      <c r="L164" s="24">
        <f t="shared" ref="L164:L187" si="163">H164*I164</f>
        <v>0</v>
      </c>
      <c r="M164" s="24">
        <v>2.5000000000000001E-2</v>
      </c>
      <c r="N164" s="46">
        <f>H164*164</f>
        <v>328</v>
      </c>
      <c r="O164" s="5"/>
      <c r="Z164" s="37">
        <f t="shared" ref="Z164:Z187" si="164">IF(AQ164="5",BJ164,0)</f>
        <v>0</v>
      </c>
      <c r="AB164" s="37">
        <f t="shared" ref="AB164:AB187" si="165">IF(AQ164="1",BH164,0)</f>
        <v>0</v>
      </c>
      <c r="AC164" s="37">
        <f t="shared" ref="AC164:AC187" si="166">IF(AQ164="1",BI164,0)</f>
        <v>0</v>
      </c>
      <c r="AD164" s="37">
        <f t="shared" ref="AD164:AD187" si="167">IF(AQ164="7",BH164,0)</f>
        <v>0</v>
      </c>
      <c r="AE164" s="37">
        <f t="shared" ref="AE164:AE187" si="168">IF(AQ164="7",BI164,0)</f>
        <v>0</v>
      </c>
      <c r="AF164" s="37">
        <f t="shared" ref="AF164:AF187" si="169">IF(AQ164="2",BH164,0)</f>
        <v>0</v>
      </c>
      <c r="AG164" s="37">
        <f t="shared" ref="AG164:AG187" si="170">IF(AQ164="2",BI164,0)</f>
        <v>0</v>
      </c>
      <c r="AH164" s="37">
        <f t="shared" ref="AH164:AH187" si="171">IF(AQ164="0",BJ164,0)</f>
        <v>0</v>
      </c>
      <c r="AI164" s="35"/>
      <c r="AJ164" s="24">
        <f t="shared" ref="AJ164:AJ187" si="172">IF(AN164=0,L164,0)</f>
        <v>0</v>
      </c>
      <c r="AK164" s="24">
        <f t="shared" ref="AK164:AK187" si="173">IF(AN164=15,L164,0)</f>
        <v>0</v>
      </c>
      <c r="AL164" s="24">
        <f t="shared" ref="AL164:AL187" si="174">IF(AN164=21,L164,0)</f>
        <v>0</v>
      </c>
      <c r="AN164" s="37">
        <v>21</v>
      </c>
      <c r="AO164" s="37">
        <f>I164*0</f>
        <v>0</v>
      </c>
      <c r="AP164" s="37">
        <f>I164*(1-0)</f>
        <v>0</v>
      </c>
      <c r="AQ164" s="38" t="s">
        <v>13</v>
      </c>
      <c r="AV164" s="37">
        <f t="shared" ref="AV164:AV187" si="175">AW164+AX164</f>
        <v>0</v>
      </c>
      <c r="AW164" s="37">
        <f t="shared" ref="AW164:AW187" si="176">H164*AO164</f>
        <v>0</v>
      </c>
      <c r="AX164" s="37">
        <f t="shared" ref="AX164:AX187" si="177">H164*AP164</f>
        <v>0</v>
      </c>
      <c r="AY164" s="40" t="s">
        <v>1212</v>
      </c>
      <c r="AZ164" s="40" t="s">
        <v>1256</v>
      </c>
      <c r="BA164" s="35" t="s">
        <v>1262</v>
      </c>
      <c r="BC164" s="37">
        <f t="shared" ref="BC164:BC187" si="178">AW164+AX164</f>
        <v>0</v>
      </c>
      <c r="BD164" s="37">
        <f t="shared" ref="BD164:BD187" si="179">I164/(100-BE164)*100</f>
        <v>0</v>
      </c>
      <c r="BE164" s="37">
        <v>0</v>
      </c>
      <c r="BF164" s="37">
        <f t="shared" ref="BF164:BF187" si="180">N164</f>
        <v>328</v>
      </c>
      <c r="BH164" s="24">
        <f t="shared" ref="BH164:BH187" si="181">H164*AO164</f>
        <v>0</v>
      </c>
      <c r="BI164" s="24">
        <f t="shared" ref="BI164:BI187" si="182">H164*AP164</f>
        <v>0</v>
      </c>
      <c r="BJ164" s="24">
        <f t="shared" ref="BJ164:BJ187" si="183">H164*I164</f>
        <v>0</v>
      </c>
      <c r="BK164" s="24" t="s">
        <v>1267</v>
      </c>
      <c r="BL164" s="37">
        <v>731</v>
      </c>
    </row>
    <row r="165" spans="1:64" x14ac:dyDescent="0.25">
      <c r="A165" s="7" t="s">
        <v>112</v>
      </c>
      <c r="B165" s="16" t="s">
        <v>451</v>
      </c>
      <c r="C165" s="134" t="s">
        <v>840</v>
      </c>
      <c r="D165" s="135"/>
      <c r="E165" s="135"/>
      <c r="F165" s="135"/>
      <c r="G165" s="16" t="s">
        <v>1170</v>
      </c>
      <c r="H165" s="26">
        <v>2</v>
      </c>
      <c r="I165" s="26">
        <v>0</v>
      </c>
      <c r="J165" s="26">
        <f t="shared" si="161"/>
        <v>0</v>
      </c>
      <c r="K165" s="26">
        <f t="shared" si="162"/>
        <v>0</v>
      </c>
      <c r="L165" s="26">
        <f t="shared" si="163"/>
        <v>0</v>
      </c>
      <c r="M165" s="26">
        <v>5.0000000000000001E-3</v>
      </c>
      <c r="N165" s="48">
        <f>H165*165</f>
        <v>330</v>
      </c>
      <c r="O165" s="5"/>
      <c r="Z165" s="37">
        <f t="shared" si="164"/>
        <v>0</v>
      </c>
      <c r="AB165" s="37">
        <f t="shared" si="165"/>
        <v>0</v>
      </c>
      <c r="AC165" s="37">
        <f t="shared" si="166"/>
        <v>0</v>
      </c>
      <c r="AD165" s="37">
        <f t="shared" si="167"/>
        <v>0</v>
      </c>
      <c r="AE165" s="37">
        <f t="shared" si="168"/>
        <v>0</v>
      </c>
      <c r="AF165" s="37">
        <f t="shared" si="169"/>
        <v>0</v>
      </c>
      <c r="AG165" s="37">
        <f t="shared" si="170"/>
        <v>0</v>
      </c>
      <c r="AH165" s="37">
        <f t="shared" si="171"/>
        <v>0</v>
      </c>
      <c r="AI165" s="35"/>
      <c r="AJ165" s="26">
        <f t="shared" si="172"/>
        <v>0</v>
      </c>
      <c r="AK165" s="26">
        <f t="shared" si="173"/>
        <v>0</v>
      </c>
      <c r="AL165" s="26">
        <f t="shared" si="174"/>
        <v>0</v>
      </c>
      <c r="AN165" s="37">
        <v>21</v>
      </c>
      <c r="AO165" s="37">
        <f t="shared" ref="AO165:AO184" si="184">I165*1</f>
        <v>0</v>
      </c>
      <c r="AP165" s="37">
        <f t="shared" ref="AP165:AP184" si="185">I165*(1-1)</f>
        <v>0</v>
      </c>
      <c r="AQ165" s="39" t="s">
        <v>13</v>
      </c>
      <c r="AV165" s="37">
        <f t="shared" si="175"/>
        <v>0</v>
      </c>
      <c r="AW165" s="37">
        <f t="shared" si="176"/>
        <v>0</v>
      </c>
      <c r="AX165" s="37">
        <f t="shared" si="177"/>
        <v>0</v>
      </c>
      <c r="AY165" s="40" t="s">
        <v>1212</v>
      </c>
      <c r="AZ165" s="40" t="s">
        <v>1256</v>
      </c>
      <c r="BA165" s="35" t="s">
        <v>1262</v>
      </c>
      <c r="BC165" s="37">
        <f t="shared" si="178"/>
        <v>0</v>
      </c>
      <c r="BD165" s="37">
        <f t="shared" si="179"/>
        <v>0</v>
      </c>
      <c r="BE165" s="37">
        <v>0</v>
      </c>
      <c r="BF165" s="37">
        <f t="shared" si="180"/>
        <v>330</v>
      </c>
      <c r="BH165" s="26">
        <f t="shared" si="181"/>
        <v>0</v>
      </c>
      <c r="BI165" s="26">
        <f t="shared" si="182"/>
        <v>0</v>
      </c>
      <c r="BJ165" s="26">
        <f t="shared" si="183"/>
        <v>0</v>
      </c>
      <c r="BK165" s="26" t="s">
        <v>1268</v>
      </c>
      <c r="BL165" s="37">
        <v>731</v>
      </c>
    </row>
    <row r="166" spans="1:64" x14ac:dyDescent="0.25">
      <c r="A166" s="7" t="s">
        <v>113</v>
      </c>
      <c r="B166" s="16" t="s">
        <v>452</v>
      </c>
      <c r="C166" s="134" t="s">
        <v>841</v>
      </c>
      <c r="D166" s="135"/>
      <c r="E166" s="135"/>
      <c r="F166" s="135"/>
      <c r="G166" s="16" t="s">
        <v>1170</v>
      </c>
      <c r="H166" s="26">
        <v>2</v>
      </c>
      <c r="I166" s="26">
        <v>0</v>
      </c>
      <c r="J166" s="26">
        <f t="shared" si="161"/>
        <v>0</v>
      </c>
      <c r="K166" s="26">
        <f t="shared" si="162"/>
        <v>0</v>
      </c>
      <c r="L166" s="26">
        <f t="shared" si="163"/>
        <v>0</v>
      </c>
      <c r="M166" s="26">
        <v>1E-3</v>
      </c>
      <c r="N166" s="48">
        <f>H166*166</f>
        <v>332</v>
      </c>
      <c r="O166" s="5"/>
      <c r="Z166" s="37">
        <f t="shared" si="164"/>
        <v>0</v>
      </c>
      <c r="AB166" s="37">
        <f t="shared" si="165"/>
        <v>0</v>
      </c>
      <c r="AC166" s="37">
        <f t="shared" si="166"/>
        <v>0</v>
      </c>
      <c r="AD166" s="37">
        <f t="shared" si="167"/>
        <v>0</v>
      </c>
      <c r="AE166" s="37">
        <f t="shared" si="168"/>
        <v>0</v>
      </c>
      <c r="AF166" s="37">
        <f t="shared" si="169"/>
        <v>0</v>
      </c>
      <c r="AG166" s="37">
        <f t="shared" si="170"/>
        <v>0</v>
      </c>
      <c r="AH166" s="37">
        <f t="shared" si="171"/>
        <v>0</v>
      </c>
      <c r="AI166" s="35"/>
      <c r="AJ166" s="26">
        <f t="shared" si="172"/>
        <v>0</v>
      </c>
      <c r="AK166" s="26">
        <f t="shared" si="173"/>
        <v>0</v>
      </c>
      <c r="AL166" s="26">
        <f t="shared" si="174"/>
        <v>0</v>
      </c>
      <c r="AN166" s="37">
        <v>21</v>
      </c>
      <c r="AO166" s="37">
        <f t="shared" si="184"/>
        <v>0</v>
      </c>
      <c r="AP166" s="37">
        <f t="shared" si="185"/>
        <v>0</v>
      </c>
      <c r="AQ166" s="39" t="s">
        <v>13</v>
      </c>
      <c r="AV166" s="37">
        <f t="shared" si="175"/>
        <v>0</v>
      </c>
      <c r="AW166" s="37">
        <f t="shared" si="176"/>
        <v>0</v>
      </c>
      <c r="AX166" s="37">
        <f t="shared" si="177"/>
        <v>0</v>
      </c>
      <c r="AY166" s="40" t="s">
        <v>1212</v>
      </c>
      <c r="AZ166" s="40" t="s">
        <v>1256</v>
      </c>
      <c r="BA166" s="35" t="s">
        <v>1262</v>
      </c>
      <c r="BC166" s="37">
        <f t="shared" si="178"/>
        <v>0</v>
      </c>
      <c r="BD166" s="37">
        <f t="shared" si="179"/>
        <v>0</v>
      </c>
      <c r="BE166" s="37">
        <v>0</v>
      </c>
      <c r="BF166" s="37">
        <f t="shared" si="180"/>
        <v>332</v>
      </c>
      <c r="BH166" s="26">
        <f t="shared" si="181"/>
        <v>0</v>
      </c>
      <c r="BI166" s="26">
        <f t="shared" si="182"/>
        <v>0</v>
      </c>
      <c r="BJ166" s="26">
        <f t="shared" si="183"/>
        <v>0</v>
      </c>
      <c r="BK166" s="26" t="s">
        <v>1268</v>
      </c>
      <c r="BL166" s="37">
        <v>731</v>
      </c>
    </row>
    <row r="167" spans="1:64" x14ac:dyDescent="0.25">
      <c r="A167" s="7" t="s">
        <v>114</v>
      </c>
      <c r="B167" s="16" t="s">
        <v>453</v>
      </c>
      <c r="C167" s="134" t="s">
        <v>842</v>
      </c>
      <c r="D167" s="135"/>
      <c r="E167" s="135"/>
      <c r="F167" s="135"/>
      <c r="G167" s="16" t="s">
        <v>1170</v>
      </c>
      <c r="H167" s="26">
        <v>2</v>
      </c>
      <c r="I167" s="26">
        <v>0</v>
      </c>
      <c r="J167" s="26">
        <f t="shared" si="161"/>
        <v>0</v>
      </c>
      <c r="K167" s="26">
        <f t="shared" si="162"/>
        <v>0</v>
      </c>
      <c r="L167" s="26">
        <f t="shared" si="163"/>
        <v>0</v>
      </c>
      <c r="M167" s="26">
        <v>0.02</v>
      </c>
      <c r="N167" s="48">
        <f>H167*167</f>
        <v>334</v>
      </c>
      <c r="O167" s="5"/>
      <c r="Z167" s="37">
        <f t="shared" si="164"/>
        <v>0</v>
      </c>
      <c r="AB167" s="37">
        <f t="shared" si="165"/>
        <v>0</v>
      </c>
      <c r="AC167" s="37">
        <f t="shared" si="166"/>
        <v>0</v>
      </c>
      <c r="AD167" s="37">
        <f t="shared" si="167"/>
        <v>0</v>
      </c>
      <c r="AE167" s="37">
        <f t="shared" si="168"/>
        <v>0</v>
      </c>
      <c r="AF167" s="37">
        <f t="shared" si="169"/>
        <v>0</v>
      </c>
      <c r="AG167" s="37">
        <f t="shared" si="170"/>
        <v>0</v>
      </c>
      <c r="AH167" s="37">
        <f t="shared" si="171"/>
        <v>0</v>
      </c>
      <c r="AI167" s="35"/>
      <c r="AJ167" s="26">
        <f t="shared" si="172"/>
        <v>0</v>
      </c>
      <c r="AK167" s="26">
        <f t="shared" si="173"/>
        <v>0</v>
      </c>
      <c r="AL167" s="26">
        <f t="shared" si="174"/>
        <v>0</v>
      </c>
      <c r="AN167" s="37">
        <v>21</v>
      </c>
      <c r="AO167" s="37">
        <f t="shared" si="184"/>
        <v>0</v>
      </c>
      <c r="AP167" s="37">
        <f t="shared" si="185"/>
        <v>0</v>
      </c>
      <c r="AQ167" s="39" t="s">
        <v>13</v>
      </c>
      <c r="AV167" s="37">
        <f t="shared" si="175"/>
        <v>0</v>
      </c>
      <c r="AW167" s="37">
        <f t="shared" si="176"/>
        <v>0</v>
      </c>
      <c r="AX167" s="37">
        <f t="shared" si="177"/>
        <v>0</v>
      </c>
      <c r="AY167" s="40" t="s">
        <v>1212</v>
      </c>
      <c r="AZ167" s="40" t="s">
        <v>1256</v>
      </c>
      <c r="BA167" s="35" t="s">
        <v>1262</v>
      </c>
      <c r="BC167" s="37">
        <f t="shared" si="178"/>
        <v>0</v>
      </c>
      <c r="BD167" s="37">
        <f t="shared" si="179"/>
        <v>0</v>
      </c>
      <c r="BE167" s="37">
        <v>0</v>
      </c>
      <c r="BF167" s="37">
        <f t="shared" si="180"/>
        <v>334</v>
      </c>
      <c r="BH167" s="26">
        <f t="shared" si="181"/>
        <v>0</v>
      </c>
      <c r="BI167" s="26">
        <f t="shared" si="182"/>
        <v>0</v>
      </c>
      <c r="BJ167" s="26">
        <f t="shared" si="183"/>
        <v>0</v>
      </c>
      <c r="BK167" s="26" t="s">
        <v>1268</v>
      </c>
      <c r="BL167" s="37">
        <v>731</v>
      </c>
    </row>
    <row r="168" spans="1:64" x14ac:dyDescent="0.25">
      <c r="A168" s="7" t="s">
        <v>115</v>
      </c>
      <c r="B168" s="16" t="s">
        <v>454</v>
      </c>
      <c r="C168" s="134" t="s">
        <v>843</v>
      </c>
      <c r="D168" s="135"/>
      <c r="E168" s="135"/>
      <c r="F168" s="135"/>
      <c r="G168" s="16" t="s">
        <v>1170</v>
      </c>
      <c r="H168" s="26">
        <v>1</v>
      </c>
      <c r="I168" s="26">
        <v>0</v>
      </c>
      <c r="J168" s="26">
        <f t="shared" si="161"/>
        <v>0</v>
      </c>
      <c r="K168" s="26">
        <f t="shared" si="162"/>
        <v>0</v>
      </c>
      <c r="L168" s="26">
        <f t="shared" si="163"/>
        <v>0</v>
      </c>
      <c r="M168" s="26">
        <v>1E-3</v>
      </c>
      <c r="N168" s="48">
        <f>H168*168</f>
        <v>168</v>
      </c>
      <c r="O168" s="5"/>
      <c r="Z168" s="37">
        <f t="shared" si="164"/>
        <v>0</v>
      </c>
      <c r="AB168" s="37">
        <f t="shared" si="165"/>
        <v>0</v>
      </c>
      <c r="AC168" s="37">
        <f t="shared" si="166"/>
        <v>0</v>
      </c>
      <c r="AD168" s="37">
        <f t="shared" si="167"/>
        <v>0</v>
      </c>
      <c r="AE168" s="37">
        <f t="shared" si="168"/>
        <v>0</v>
      </c>
      <c r="AF168" s="37">
        <f t="shared" si="169"/>
        <v>0</v>
      </c>
      <c r="AG168" s="37">
        <f t="shared" si="170"/>
        <v>0</v>
      </c>
      <c r="AH168" s="37">
        <f t="shared" si="171"/>
        <v>0</v>
      </c>
      <c r="AI168" s="35"/>
      <c r="AJ168" s="26">
        <f t="shared" si="172"/>
        <v>0</v>
      </c>
      <c r="AK168" s="26">
        <f t="shared" si="173"/>
        <v>0</v>
      </c>
      <c r="AL168" s="26">
        <f t="shared" si="174"/>
        <v>0</v>
      </c>
      <c r="AN168" s="37">
        <v>21</v>
      </c>
      <c r="AO168" s="37">
        <f t="shared" si="184"/>
        <v>0</v>
      </c>
      <c r="AP168" s="37">
        <f t="shared" si="185"/>
        <v>0</v>
      </c>
      <c r="AQ168" s="39" t="s">
        <v>13</v>
      </c>
      <c r="AV168" s="37">
        <f t="shared" si="175"/>
        <v>0</v>
      </c>
      <c r="AW168" s="37">
        <f t="shared" si="176"/>
        <v>0</v>
      </c>
      <c r="AX168" s="37">
        <f t="shared" si="177"/>
        <v>0</v>
      </c>
      <c r="AY168" s="40" t="s">
        <v>1212</v>
      </c>
      <c r="AZ168" s="40" t="s">
        <v>1256</v>
      </c>
      <c r="BA168" s="35" t="s">
        <v>1262</v>
      </c>
      <c r="BC168" s="37">
        <f t="shared" si="178"/>
        <v>0</v>
      </c>
      <c r="BD168" s="37">
        <f t="shared" si="179"/>
        <v>0</v>
      </c>
      <c r="BE168" s="37">
        <v>0</v>
      </c>
      <c r="BF168" s="37">
        <f t="shared" si="180"/>
        <v>168</v>
      </c>
      <c r="BH168" s="26">
        <f t="shared" si="181"/>
        <v>0</v>
      </c>
      <c r="BI168" s="26">
        <f t="shared" si="182"/>
        <v>0</v>
      </c>
      <c r="BJ168" s="26">
        <f t="shared" si="183"/>
        <v>0</v>
      </c>
      <c r="BK168" s="26" t="s">
        <v>1268</v>
      </c>
      <c r="BL168" s="37">
        <v>731</v>
      </c>
    </row>
    <row r="169" spans="1:64" x14ac:dyDescent="0.25">
      <c r="A169" s="7" t="s">
        <v>116</v>
      </c>
      <c r="B169" s="16" t="s">
        <v>455</v>
      </c>
      <c r="C169" s="134" t="s">
        <v>844</v>
      </c>
      <c r="D169" s="135"/>
      <c r="E169" s="135"/>
      <c r="F169" s="135"/>
      <c r="G169" s="16" t="s">
        <v>1170</v>
      </c>
      <c r="H169" s="26">
        <v>1</v>
      </c>
      <c r="I169" s="26">
        <v>0</v>
      </c>
      <c r="J169" s="26">
        <f t="shared" si="161"/>
        <v>0</v>
      </c>
      <c r="K169" s="26">
        <f t="shared" si="162"/>
        <v>0</v>
      </c>
      <c r="L169" s="26">
        <f t="shared" si="163"/>
        <v>0</v>
      </c>
      <c r="M169" s="26">
        <v>2E-3</v>
      </c>
      <c r="N169" s="48">
        <f>H169*169</f>
        <v>169</v>
      </c>
      <c r="O169" s="5"/>
      <c r="Z169" s="37">
        <f t="shared" si="164"/>
        <v>0</v>
      </c>
      <c r="AB169" s="37">
        <f t="shared" si="165"/>
        <v>0</v>
      </c>
      <c r="AC169" s="37">
        <f t="shared" si="166"/>
        <v>0</v>
      </c>
      <c r="AD169" s="37">
        <f t="shared" si="167"/>
        <v>0</v>
      </c>
      <c r="AE169" s="37">
        <f t="shared" si="168"/>
        <v>0</v>
      </c>
      <c r="AF169" s="37">
        <f t="shared" si="169"/>
        <v>0</v>
      </c>
      <c r="AG169" s="37">
        <f t="shared" si="170"/>
        <v>0</v>
      </c>
      <c r="AH169" s="37">
        <f t="shared" si="171"/>
        <v>0</v>
      </c>
      <c r="AI169" s="35"/>
      <c r="AJ169" s="26">
        <f t="shared" si="172"/>
        <v>0</v>
      </c>
      <c r="AK169" s="26">
        <f t="shared" si="173"/>
        <v>0</v>
      </c>
      <c r="AL169" s="26">
        <f t="shared" si="174"/>
        <v>0</v>
      </c>
      <c r="AN169" s="37">
        <v>21</v>
      </c>
      <c r="AO169" s="37">
        <f t="shared" si="184"/>
        <v>0</v>
      </c>
      <c r="AP169" s="37">
        <f t="shared" si="185"/>
        <v>0</v>
      </c>
      <c r="AQ169" s="39" t="s">
        <v>13</v>
      </c>
      <c r="AV169" s="37">
        <f t="shared" si="175"/>
        <v>0</v>
      </c>
      <c r="AW169" s="37">
        <f t="shared" si="176"/>
        <v>0</v>
      </c>
      <c r="AX169" s="37">
        <f t="shared" si="177"/>
        <v>0</v>
      </c>
      <c r="AY169" s="40" t="s">
        <v>1212</v>
      </c>
      <c r="AZ169" s="40" t="s">
        <v>1256</v>
      </c>
      <c r="BA169" s="35" t="s">
        <v>1262</v>
      </c>
      <c r="BC169" s="37">
        <f t="shared" si="178"/>
        <v>0</v>
      </c>
      <c r="BD169" s="37">
        <f t="shared" si="179"/>
        <v>0</v>
      </c>
      <c r="BE169" s="37">
        <v>0</v>
      </c>
      <c r="BF169" s="37">
        <f t="shared" si="180"/>
        <v>169</v>
      </c>
      <c r="BH169" s="26">
        <f t="shared" si="181"/>
        <v>0</v>
      </c>
      <c r="BI169" s="26">
        <f t="shared" si="182"/>
        <v>0</v>
      </c>
      <c r="BJ169" s="26">
        <f t="shared" si="183"/>
        <v>0</v>
      </c>
      <c r="BK169" s="26" t="s">
        <v>1268</v>
      </c>
      <c r="BL169" s="37">
        <v>731</v>
      </c>
    </row>
    <row r="170" spans="1:64" x14ac:dyDescent="0.25">
      <c r="A170" s="7" t="s">
        <v>117</v>
      </c>
      <c r="B170" s="16" t="s">
        <v>456</v>
      </c>
      <c r="C170" s="134" t="s">
        <v>845</v>
      </c>
      <c r="D170" s="135"/>
      <c r="E170" s="135"/>
      <c r="F170" s="135"/>
      <c r="G170" s="16" t="s">
        <v>1170</v>
      </c>
      <c r="H170" s="26">
        <v>2</v>
      </c>
      <c r="I170" s="26">
        <v>0</v>
      </c>
      <c r="J170" s="26">
        <f t="shared" si="161"/>
        <v>0</v>
      </c>
      <c r="K170" s="26">
        <f t="shared" si="162"/>
        <v>0</v>
      </c>
      <c r="L170" s="26">
        <f t="shared" si="163"/>
        <v>0</v>
      </c>
      <c r="M170" s="26">
        <v>4.0000000000000001E-3</v>
      </c>
      <c r="N170" s="48">
        <f>H170*170</f>
        <v>340</v>
      </c>
      <c r="O170" s="5"/>
      <c r="Z170" s="37">
        <f t="shared" si="164"/>
        <v>0</v>
      </c>
      <c r="AB170" s="37">
        <f t="shared" si="165"/>
        <v>0</v>
      </c>
      <c r="AC170" s="37">
        <f t="shared" si="166"/>
        <v>0</v>
      </c>
      <c r="AD170" s="37">
        <f t="shared" si="167"/>
        <v>0</v>
      </c>
      <c r="AE170" s="37">
        <f t="shared" si="168"/>
        <v>0</v>
      </c>
      <c r="AF170" s="37">
        <f t="shared" si="169"/>
        <v>0</v>
      </c>
      <c r="AG170" s="37">
        <f t="shared" si="170"/>
        <v>0</v>
      </c>
      <c r="AH170" s="37">
        <f t="shared" si="171"/>
        <v>0</v>
      </c>
      <c r="AI170" s="35"/>
      <c r="AJ170" s="26">
        <f t="shared" si="172"/>
        <v>0</v>
      </c>
      <c r="AK170" s="26">
        <f t="shared" si="173"/>
        <v>0</v>
      </c>
      <c r="AL170" s="26">
        <f t="shared" si="174"/>
        <v>0</v>
      </c>
      <c r="AN170" s="37">
        <v>21</v>
      </c>
      <c r="AO170" s="37">
        <f t="shared" si="184"/>
        <v>0</v>
      </c>
      <c r="AP170" s="37">
        <f t="shared" si="185"/>
        <v>0</v>
      </c>
      <c r="AQ170" s="39" t="s">
        <v>13</v>
      </c>
      <c r="AV170" s="37">
        <f t="shared" si="175"/>
        <v>0</v>
      </c>
      <c r="AW170" s="37">
        <f t="shared" si="176"/>
        <v>0</v>
      </c>
      <c r="AX170" s="37">
        <f t="shared" si="177"/>
        <v>0</v>
      </c>
      <c r="AY170" s="40" t="s">
        <v>1212</v>
      </c>
      <c r="AZ170" s="40" t="s">
        <v>1256</v>
      </c>
      <c r="BA170" s="35" t="s">
        <v>1262</v>
      </c>
      <c r="BC170" s="37">
        <f t="shared" si="178"/>
        <v>0</v>
      </c>
      <c r="BD170" s="37">
        <f t="shared" si="179"/>
        <v>0</v>
      </c>
      <c r="BE170" s="37">
        <v>0</v>
      </c>
      <c r="BF170" s="37">
        <f t="shared" si="180"/>
        <v>340</v>
      </c>
      <c r="BH170" s="26">
        <f t="shared" si="181"/>
        <v>0</v>
      </c>
      <c r="BI170" s="26">
        <f t="shared" si="182"/>
        <v>0</v>
      </c>
      <c r="BJ170" s="26">
        <f t="shared" si="183"/>
        <v>0</v>
      </c>
      <c r="BK170" s="26" t="s">
        <v>1268</v>
      </c>
      <c r="BL170" s="37">
        <v>731</v>
      </c>
    </row>
    <row r="171" spans="1:64" x14ac:dyDescent="0.25">
      <c r="A171" s="7" t="s">
        <v>118</v>
      </c>
      <c r="B171" s="16" t="s">
        <v>457</v>
      </c>
      <c r="C171" s="134" t="s">
        <v>846</v>
      </c>
      <c r="D171" s="135"/>
      <c r="E171" s="135"/>
      <c r="F171" s="135"/>
      <c r="G171" s="16" t="s">
        <v>1170</v>
      </c>
      <c r="H171" s="26">
        <v>3</v>
      </c>
      <c r="I171" s="26">
        <v>0</v>
      </c>
      <c r="J171" s="26">
        <f t="shared" si="161"/>
        <v>0</v>
      </c>
      <c r="K171" s="26">
        <f t="shared" si="162"/>
        <v>0</v>
      </c>
      <c r="L171" s="26">
        <f t="shared" si="163"/>
        <v>0</v>
      </c>
      <c r="M171" s="26">
        <v>1E-3</v>
      </c>
      <c r="N171" s="48">
        <f>H171*171</f>
        <v>513</v>
      </c>
      <c r="O171" s="5"/>
      <c r="Z171" s="37">
        <f t="shared" si="164"/>
        <v>0</v>
      </c>
      <c r="AB171" s="37">
        <f t="shared" si="165"/>
        <v>0</v>
      </c>
      <c r="AC171" s="37">
        <f t="shared" si="166"/>
        <v>0</v>
      </c>
      <c r="AD171" s="37">
        <f t="shared" si="167"/>
        <v>0</v>
      </c>
      <c r="AE171" s="37">
        <f t="shared" si="168"/>
        <v>0</v>
      </c>
      <c r="AF171" s="37">
        <f t="shared" si="169"/>
        <v>0</v>
      </c>
      <c r="AG171" s="37">
        <f t="shared" si="170"/>
        <v>0</v>
      </c>
      <c r="AH171" s="37">
        <f t="shared" si="171"/>
        <v>0</v>
      </c>
      <c r="AI171" s="35"/>
      <c r="AJ171" s="26">
        <f t="shared" si="172"/>
        <v>0</v>
      </c>
      <c r="AK171" s="26">
        <f t="shared" si="173"/>
        <v>0</v>
      </c>
      <c r="AL171" s="26">
        <f t="shared" si="174"/>
        <v>0</v>
      </c>
      <c r="AN171" s="37">
        <v>21</v>
      </c>
      <c r="AO171" s="37">
        <f t="shared" si="184"/>
        <v>0</v>
      </c>
      <c r="AP171" s="37">
        <f t="shared" si="185"/>
        <v>0</v>
      </c>
      <c r="AQ171" s="39" t="s">
        <v>13</v>
      </c>
      <c r="AV171" s="37">
        <f t="shared" si="175"/>
        <v>0</v>
      </c>
      <c r="AW171" s="37">
        <f t="shared" si="176"/>
        <v>0</v>
      </c>
      <c r="AX171" s="37">
        <f t="shared" si="177"/>
        <v>0</v>
      </c>
      <c r="AY171" s="40" t="s">
        <v>1212</v>
      </c>
      <c r="AZ171" s="40" t="s">
        <v>1256</v>
      </c>
      <c r="BA171" s="35" t="s">
        <v>1262</v>
      </c>
      <c r="BC171" s="37">
        <f t="shared" si="178"/>
        <v>0</v>
      </c>
      <c r="BD171" s="37">
        <f t="shared" si="179"/>
        <v>0</v>
      </c>
      <c r="BE171" s="37">
        <v>0</v>
      </c>
      <c r="BF171" s="37">
        <f t="shared" si="180"/>
        <v>513</v>
      </c>
      <c r="BH171" s="26">
        <f t="shared" si="181"/>
        <v>0</v>
      </c>
      <c r="BI171" s="26">
        <f t="shared" si="182"/>
        <v>0</v>
      </c>
      <c r="BJ171" s="26">
        <f t="shared" si="183"/>
        <v>0</v>
      </c>
      <c r="BK171" s="26" t="s">
        <v>1268</v>
      </c>
      <c r="BL171" s="37">
        <v>731</v>
      </c>
    </row>
    <row r="172" spans="1:64" x14ac:dyDescent="0.25">
      <c r="A172" s="7" t="s">
        <v>119</v>
      </c>
      <c r="B172" s="16" t="s">
        <v>458</v>
      </c>
      <c r="C172" s="134" t="s">
        <v>847</v>
      </c>
      <c r="D172" s="135"/>
      <c r="E172" s="135"/>
      <c r="F172" s="135"/>
      <c r="G172" s="16" t="s">
        <v>1170</v>
      </c>
      <c r="H172" s="26">
        <v>2</v>
      </c>
      <c r="I172" s="26">
        <v>0</v>
      </c>
      <c r="J172" s="26">
        <f t="shared" si="161"/>
        <v>0</v>
      </c>
      <c r="K172" s="26">
        <f t="shared" si="162"/>
        <v>0</v>
      </c>
      <c r="L172" s="26">
        <f t="shared" si="163"/>
        <v>0</v>
      </c>
      <c r="M172" s="26">
        <v>2E-3</v>
      </c>
      <c r="N172" s="48">
        <f>H172*172</f>
        <v>344</v>
      </c>
      <c r="O172" s="5"/>
      <c r="Z172" s="37">
        <f t="shared" si="164"/>
        <v>0</v>
      </c>
      <c r="AB172" s="37">
        <f t="shared" si="165"/>
        <v>0</v>
      </c>
      <c r="AC172" s="37">
        <f t="shared" si="166"/>
        <v>0</v>
      </c>
      <c r="AD172" s="37">
        <f t="shared" si="167"/>
        <v>0</v>
      </c>
      <c r="AE172" s="37">
        <f t="shared" si="168"/>
        <v>0</v>
      </c>
      <c r="AF172" s="37">
        <f t="shared" si="169"/>
        <v>0</v>
      </c>
      <c r="AG172" s="37">
        <f t="shared" si="170"/>
        <v>0</v>
      </c>
      <c r="AH172" s="37">
        <f t="shared" si="171"/>
        <v>0</v>
      </c>
      <c r="AI172" s="35"/>
      <c r="AJ172" s="26">
        <f t="shared" si="172"/>
        <v>0</v>
      </c>
      <c r="AK172" s="26">
        <f t="shared" si="173"/>
        <v>0</v>
      </c>
      <c r="AL172" s="26">
        <f t="shared" si="174"/>
        <v>0</v>
      </c>
      <c r="AN172" s="37">
        <v>21</v>
      </c>
      <c r="AO172" s="37">
        <f t="shared" si="184"/>
        <v>0</v>
      </c>
      <c r="AP172" s="37">
        <f t="shared" si="185"/>
        <v>0</v>
      </c>
      <c r="AQ172" s="39" t="s">
        <v>13</v>
      </c>
      <c r="AV172" s="37">
        <f t="shared" si="175"/>
        <v>0</v>
      </c>
      <c r="AW172" s="37">
        <f t="shared" si="176"/>
        <v>0</v>
      </c>
      <c r="AX172" s="37">
        <f t="shared" si="177"/>
        <v>0</v>
      </c>
      <c r="AY172" s="40" t="s">
        <v>1212</v>
      </c>
      <c r="AZ172" s="40" t="s">
        <v>1256</v>
      </c>
      <c r="BA172" s="35" t="s">
        <v>1262</v>
      </c>
      <c r="BC172" s="37">
        <f t="shared" si="178"/>
        <v>0</v>
      </c>
      <c r="BD172" s="37">
        <f t="shared" si="179"/>
        <v>0</v>
      </c>
      <c r="BE172" s="37">
        <v>0</v>
      </c>
      <c r="BF172" s="37">
        <f t="shared" si="180"/>
        <v>344</v>
      </c>
      <c r="BH172" s="26">
        <f t="shared" si="181"/>
        <v>0</v>
      </c>
      <c r="BI172" s="26">
        <f t="shared" si="182"/>
        <v>0</v>
      </c>
      <c r="BJ172" s="26">
        <f t="shared" si="183"/>
        <v>0</v>
      </c>
      <c r="BK172" s="26" t="s">
        <v>1268</v>
      </c>
      <c r="BL172" s="37">
        <v>731</v>
      </c>
    </row>
    <row r="173" spans="1:64" x14ac:dyDescent="0.25">
      <c r="A173" s="7" t="s">
        <v>120</v>
      </c>
      <c r="B173" s="16" t="s">
        <v>459</v>
      </c>
      <c r="C173" s="134" t="s">
        <v>848</v>
      </c>
      <c r="D173" s="135"/>
      <c r="E173" s="135"/>
      <c r="F173" s="135"/>
      <c r="G173" s="16" t="s">
        <v>1170</v>
      </c>
      <c r="H173" s="26">
        <v>25</v>
      </c>
      <c r="I173" s="26">
        <v>0</v>
      </c>
      <c r="J173" s="26">
        <f t="shared" si="161"/>
        <v>0</v>
      </c>
      <c r="K173" s="26">
        <f t="shared" si="162"/>
        <v>0</v>
      </c>
      <c r="L173" s="26">
        <f t="shared" si="163"/>
        <v>0</v>
      </c>
      <c r="M173" s="26">
        <v>4.0000000000000001E-3</v>
      </c>
      <c r="N173" s="48">
        <f>H173*173</f>
        <v>4325</v>
      </c>
      <c r="O173" s="5"/>
      <c r="Z173" s="37">
        <f t="shared" si="164"/>
        <v>0</v>
      </c>
      <c r="AB173" s="37">
        <f t="shared" si="165"/>
        <v>0</v>
      </c>
      <c r="AC173" s="37">
        <f t="shared" si="166"/>
        <v>0</v>
      </c>
      <c r="AD173" s="37">
        <f t="shared" si="167"/>
        <v>0</v>
      </c>
      <c r="AE173" s="37">
        <f t="shared" si="168"/>
        <v>0</v>
      </c>
      <c r="AF173" s="37">
        <f t="shared" si="169"/>
        <v>0</v>
      </c>
      <c r="AG173" s="37">
        <f t="shared" si="170"/>
        <v>0</v>
      </c>
      <c r="AH173" s="37">
        <f t="shared" si="171"/>
        <v>0</v>
      </c>
      <c r="AI173" s="35"/>
      <c r="AJ173" s="26">
        <f t="shared" si="172"/>
        <v>0</v>
      </c>
      <c r="AK173" s="26">
        <f t="shared" si="173"/>
        <v>0</v>
      </c>
      <c r="AL173" s="26">
        <f t="shared" si="174"/>
        <v>0</v>
      </c>
      <c r="AN173" s="37">
        <v>21</v>
      </c>
      <c r="AO173" s="37">
        <f t="shared" si="184"/>
        <v>0</v>
      </c>
      <c r="AP173" s="37">
        <f t="shared" si="185"/>
        <v>0</v>
      </c>
      <c r="AQ173" s="39" t="s">
        <v>13</v>
      </c>
      <c r="AV173" s="37">
        <f t="shared" si="175"/>
        <v>0</v>
      </c>
      <c r="AW173" s="37">
        <f t="shared" si="176"/>
        <v>0</v>
      </c>
      <c r="AX173" s="37">
        <f t="shared" si="177"/>
        <v>0</v>
      </c>
      <c r="AY173" s="40" t="s">
        <v>1212</v>
      </c>
      <c r="AZ173" s="40" t="s">
        <v>1256</v>
      </c>
      <c r="BA173" s="35" t="s">
        <v>1262</v>
      </c>
      <c r="BC173" s="37">
        <f t="shared" si="178"/>
        <v>0</v>
      </c>
      <c r="BD173" s="37">
        <f t="shared" si="179"/>
        <v>0</v>
      </c>
      <c r="BE173" s="37">
        <v>0</v>
      </c>
      <c r="BF173" s="37">
        <f t="shared" si="180"/>
        <v>4325</v>
      </c>
      <c r="BH173" s="26">
        <f t="shared" si="181"/>
        <v>0</v>
      </c>
      <c r="BI173" s="26">
        <f t="shared" si="182"/>
        <v>0</v>
      </c>
      <c r="BJ173" s="26">
        <f t="shared" si="183"/>
        <v>0</v>
      </c>
      <c r="BK173" s="26" t="s">
        <v>1268</v>
      </c>
      <c r="BL173" s="37">
        <v>731</v>
      </c>
    </row>
    <row r="174" spans="1:64" x14ac:dyDescent="0.25">
      <c r="A174" s="7" t="s">
        <v>121</v>
      </c>
      <c r="B174" s="16" t="s">
        <v>460</v>
      </c>
      <c r="C174" s="134" t="s">
        <v>849</v>
      </c>
      <c r="D174" s="135"/>
      <c r="E174" s="135"/>
      <c r="F174" s="135"/>
      <c r="G174" s="16" t="s">
        <v>1170</v>
      </c>
      <c r="H174" s="26">
        <v>2</v>
      </c>
      <c r="I174" s="26">
        <v>0</v>
      </c>
      <c r="J174" s="26">
        <f t="shared" si="161"/>
        <v>0</v>
      </c>
      <c r="K174" s="26">
        <f t="shared" si="162"/>
        <v>0</v>
      </c>
      <c r="L174" s="26">
        <f t="shared" si="163"/>
        <v>0</v>
      </c>
      <c r="M174" s="26">
        <v>2E-3</v>
      </c>
      <c r="N174" s="48">
        <f>H174*174</f>
        <v>348</v>
      </c>
      <c r="O174" s="5"/>
      <c r="Z174" s="37">
        <f t="shared" si="164"/>
        <v>0</v>
      </c>
      <c r="AB174" s="37">
        <f t="shared" si="165"/>
        <v>0</v>
      </c>
      <c r="AC174" s="37">
        <f t="shared" si="166"/>
        <v>0</v>
      </c>
      <c r="AD174" s="37">
        <f t="shared" si="167"/>
        <v>0</v>
      </c>
      <c r="AE174" s="37">
        <f t="shared" si="168"/>
        <v>0</v>
      </c>
      <c r="AF174" s="37">
        <f t="shared" si="169"/>
        <v>0</v>
      </c>
      <c r="AG174" s="37">
        <f t="shared" si="170"/>
        <v>0</v>
      </c>
      <c r="AH174" s="37">
        <f t="shared" si="171"/>
        <v>0</v>
      </c>
      <c r="AI174" s="35"/>
      <c r="AJ174" s="26">
        <f t="shared" si="172"/>
        <v>0</v>
      </c>
      <c r="AK174" s="26">
        <f t="shared" si="173"/>
        <v>0</v>
      </c>
      <c r="AL174" s="26">
        <f t="shared" si="174"/>
        <v>0</v>
      </c>
      <c r="AN174" s="37">
        <v>21</v>
      </c>
      <c r="AO174" s="37">
        <f t="shared" si="184"/>
        <v>0</v>
      </c>
      <c r="AP174" s="37">
        <f t="shared" si="185"/>
        <v>0</v>
      </c>
      <c r="AQ174" s="39" t="s">
        <v>13</v>
      </c>
      <c r="AV174" s="37">
        <f t="shared" si="175"/>
        <v>0</v>
      </c>
      <c r="AW174" s="37">
        <f t="shared" si="176"/>
        <v>0</v>
      </c>
      <c r="AX174" s="37">
        <f t="shared" si="177"/>
        <v>0</v>
      </c>
      <c r="AY174" s="40" t="s">
        <v>1212</v>
      </c>
      <c r="AZ174" s="40" t="s">
        <v>1256</v>
      </c>
      <c r="BA174" s="35" t="s">
        <v>1262</v>
      </c>
      <c r="BC174" s="37">
        <f t="shared" si="178"/>
        <v>0</v>
      </c>
      <c r="BD174" s="37">
        <f t="shared" si="179"/>
        <v>0</v>
      </c>
      <c r="BE174" s="37">
        <v>0</v>
      </c>
      <c r="BF174" s="37">
        <f t="shared" si="180"/>
        <v>348</v>
      </c>
      <c r="BH174" s="26">
        <f t="shared" si="181"/>
        <v>0</v>
      </c>
      <c r="BI174" s="26">
        <f t="shared" si="182"/>
        <v>0</v>
      </c>
      <c r="BJ174" s="26">
        <f t="shared" si="183"/>
        <v>0</v>
      </c>
      <c r="BK174" s="26" t="s">
        <v>1268</v>
      </c>
      <c r="BL174" s="37">
        <v>731</v>
      </c>
    </row>
    <row r="175" spans="1:64" x14ac:dyDescent="0.25">
      <c r="A175" s="7" t="s">
        <v>122</v>
      </c>
      <c r="B175" s="16" t="s">
        <v>461</v>
      </c>
      <c r="C175" s="134" t="s">
        <v>850</v>
      </c>
      <c r="D175" s="135"/>
      <c r="E175" s="135"/>
      <c r="F175" s="135"/>
      <c r="G175" s="16" t="s">
        <v>1170</v>
      </c>
      <c r="H175" s="26">
        <v>2</v>
      </c>
      <c r="I175" s="26">
        <v>0</v>
      </c>
      <c r="J175" s="26">
        <f t="shared" si="161"/>
        <v>0</v>
      </c>
      <c r="K175" s="26">
        <f t="shared" si="162"/>
        <v>0</v>
      </c>
      <c r="L175" s="26">
        <f t="shared" si="163"/>
        <v>0</v>
      </c>
      <c r="M175" s="26">
        <v>2E-3</v>
      </c>
      <c r="N175" s="48">
        <f>H175*175</f>
        <v>350</v>
      </c>
      <c r="O175" s="5"/>
      <c r="Z175" s="37">
        <f t="shared" si="164"/>
        <v>0</v>
      </c>
      <c r="AB175" s="37">
        <f t="shared" si="165"/>
        <v>0</v>
      </c>
      <c r="AC175" s="37">
        <f t="shared" si="166"/>
        <v>0</v>
      </c>
      <c r="AD175" s="37">
        <f t="shared" si="167"/>
        <v>0</v>
      </c>
      <c r="AE175" s="37">
        <f t="shared" si="168"/>
        <v>0</v>
      </c>
      <c r="AF175" s="37">
        <f t="shared" si="169"/>
        <v>0</v>
      </c>
      <c r="AG175" s="37">
        <f t="shared" si="170"/>
        <v>0</v>
      </c>
      <c r="AH175" s="37">
        <f t="shared" si="171"/>
        <v>0</v>
      </c>
      <c r="AI175" s="35"/>
      <c r="AJ175" s="26">
        <f t="shared" si="172"/>
        <v>0</v>
      </c>
      <c r="AK175" s="26">
        <f t="shared" si="173"/>
        <v>0</v>
      </c>
      <c r="AL175" s="26">
        <f t="shared" si="174"/>
        <v>0</v>
      </c>
      <c r="AN175" s="37">
        <v>21</v>
      </c>
      <c r="AO175" s="37">
        <f t="shared" si="184"/>
        <v>0</v>
      </c>
      <c r="AP175" s="37">
        <f t="shared" si="185"/>
        <v>0</v>
      </c>
      <c r="AQ175" s="39" t="s">
        <v>13</v>
      </c>
      <c r="AV175" s="37">
        <f t="shared" si="175"/>
        <v>0</v>
      </c>
      <c r="AW175" s="37">
        <f t="shared" si="176"/>
        <v>0</v>
      </c>
      <c r="AX175" s="37">
        <f t="shared" si="177"/>
        <v>0</v>
      </c>
      <c r="AY175" s="40" t="s">
        <v>1212</v>
      </c>
      <c r="AZ175" s="40" t="s">
        <v>1256</v>
      </c>
      <c r="BA175" s="35" t="s">
        <v>1262</v>
      </c>
      <c r="BC175" s="37">
        <f t="shared" si="178"/>
        <v>0</v>
      </c>
      <c r="BD175" s="37">
        <f t="shared" si="179"/>
        <v>0</v>
      </c>
      <c r="BE175" s="37">
        <v>0</v>
      </c>
      <c r="BF175" s="37">
        <f t="shared" si="180"/>
        <v>350</v>
      </c>
      <c r="BH175" s="26">
        <f t="shared" si="181"/>
        <v>0</v>
      </c>
      <c r="BI175" s="26">
        <f t="shared" si="182"/>
        <v>0</v>
      </c>
      <c r="BJ175" s="26">
        <f t="shared" si="183"/>
        <v>0</v>
      </c>
      <c r="BK175" s="26" t="s">
        <v>1268</v>
      </c>
      <c r="BL175" s="37">
        <v>731</v>
      </c>
    </row>
    <row r="176" spans="1:64" x14ac:dyDescent="0.25">
      <c r="A176" s="7" t="s">
        <v>123</v>
      </c>
      <c r="B176" s="16" t="s">
        <v>462</v>
      </c>
      <c r="C176" s="134" t="s">
        <v>851</v>
      </c>
      <c r="D176" s="135"/>
      <c r="E176" s="135"/>
      <c r="F176" s="135"/>
      <c r="G176" s="16" t="s">
        <v>1170</v>
      </c>
      <c r="H176" s="26">
        <v>2</v>
      </c>
      <c r="I176" s="26">
        <v>0</v>
      </c>
      <c r="J176" s="26">
        <f t="shared" si="161"/>
        <v>0</v>
      </c>
      <c r="K176" s="26">
        <f t="shared" si="162"/>
        <v>0</v>
      </c>
      <c r="L176" s="26">
        <f t="shared" si="163"/>
        <v>0</v>
      </c>
      <c r="M176" s="26">
        <v>1E-3</v>
      </c>
      <c r="N176" s="48">
        <f>H176*176</f>
        <v>352</v>
      </c>
      <c r="O176" s="5"/>
      <c r="Z176" s="37">
        <f t="shared" si="164"/>
        <v>0</v>
      </c>
      <c r="AB176" s="37">
        <f t="shared" si="165"/>
        <v>0</v>
      </c>
      <c r="AC176" s="37">
        <f t="shared" si="166"/>
        <v>0</v>
      </c>
      <c r="AD176" s="37">
        <f t="shared" si="167"/>
        <v>0</v>
      </c>
      <c r="AE176" s="37">
        <f t="shared" si="168"/>
        <v>0</v>
      </c>
      <c r="AF176" s="37">
        <f t="shared" si="169"/>
        <v>0</v>
      </c>
      <c r="AG176" s="37">
        <f t="shared" si="170"/>
        <v>0</v>
      </c>
      <c r="AH176" s="37">
        <f t="shared" si="171"/>
        <v>0</v>
      </c>
      <c r="AI176" s="35"/>
      <c r="AJ176" s="26">
        <f t="shared" si="172"/>
        <v>0</v>
      </c>
      <c r="AK176" s="26">
        <f t="shared" si="173"/>
        <v>0</v>
      </c>
      <c r="AL176" s="26">
        <f t="shared" si="174"/>
        <v>0</v>
      </c>
      <c r="AN176" s="37">
        <v>21</v>
      </c>
      <c r="AO176" s="37">
        <f t="shared" si="184"/>
        <v>0</v>
      </c>
      <c r="AP176" s="37">
        <f t="shared" si="185"/>
        <v>0</v>
      </c>
      <c r="AQ176" s="39" t="s">
        <v>13</v>
      </c>
      <c r="AV176" s="37">
        <f t="shared" si="175"/>
        <v>0</v>
      </c>
      <c r="AW176" s="37">
        <f t="shared" si="176"/>
        <v>0</v>
      </c>
      <c r="AX176" s="37">
        <f t="shared" si="177"/>
        <v>0</v>
      </c>
      <c r="AY176" s="40" t="s">
        <v>1212</v>
      </c>
      <c r="AZ176" s="40" t="s">
        <v>1256</v>
      </c>
      <c r="BA176" s="35" t="s">
        <v>1262</v>
      </c>
      <c r="BC176" s="37">
        <f t="shared" si="178"/>
        <v>0</v>
      </c>
      <c r="BD176" s="37">
        <f t="shared" si="179"/>
        <v>0</v>
      </c>
      <c r="BE176" s="37">
        <v>0</v>
      </c>
      <c r="BF176" s="37">
        <f t="shared" si="180"/>
        <v>352</v>
      </c>
      <c r="BH176" s="26">
        <f t="shared" si="181"/>
        <v>0</v>
      </c>
      <c r="BI176" s="26">
        <f t="shared" si="182"/>
        <v>0</v>
      </c>
      <c r="BJ176" s="26">
        <f t="shared" si="183"/>
        <v>0</v>
      </c>
      <c r="BK176" s="26" t="s">
        <v>1268</v>
      </c>
      <c r="BL176" s="37">
        <v>731</v>
      </c>
    </row>
    <row r="177" spans="1:64" x14ac:dyDescent="0.25">
      <c r="A177" s="7" t="s">
        <v>124</v>
      </c>
      <c r="B177" s="16" t="s">
        <v>463</v>
      </c>
      <c r="C177" s="134" t="s">
        <v>852</v>
      </c>
      <c r="D177" s="135"/>
      <c r="E177" s="135"/>
      <c r="F177" s="135"/>
      <c r="G177" s="16" t="s">
        <v>1170</v>
      </c>
      <c r="H177" s="26">
        <v>2</v>
      </c>
      <c r="I177" s="26">
        <v>0</v>
      </c>
      <c r="J177" s="26">
        <f t="shared" si="161"/>
        <v>0</v>
      </c>
      <c r="K177" s="26">
        <f t="shared" si="162"/>
        <v>0</v>
      </c>
      <c r="L177" s="26">
        <f t="shared" si="163"/>
        <v>0</v>
      </c>
      <c r="M177" s="26">
        <v>1E-3</v>
      </c>
      <c r="N177" s="48">
        <f>H177*177</f>
        <v>354</v>
      </c>
      <c r="O177" s="5"/>
      <c r="Z177" s="37">
        <f t="shared" si="164"/>
        <v>0</v>
      </c>
      <c r="AB177" s="37">
        <f t="shared" si="165"/>
        <v>0</v>
      </c>
      <c r="AC177" s="37">
        <f t="shared" si="166"/>
        <v>0</v>
      </c>
      <c r="AD177" s="37">
        <f t="shared" si="167"/>
        <v>0</v>
      </c>
      <c r="AE177" s="37">
        <f t="shared" si="168"/>
        <v>0</v>
      </c>
      <c r="AF177" s="37">
        <f t="shared" si="169"/>
        <v>0</v>
      </c>
      <c r="AG177" s="37">
        <f t="shared" si="170"/>
        <v>0</v>
      </c>
      <c r="AH177" s="37">
        <f t="shared" si="171"/>
        <v>0</v>
      </c>
      <c r="AI177" s="35"/>
      <c r="AJ177" s="26">
        <f t="shared" si="172"/>
        <v>0</v>
      </c>
      <c r="AK177" s="26">
        <f t="shared" si="173"/>
        <v>0</v>
      </c>
      <c r="AL177" s="26">
        <f t="shared" si="174"/>
        <v>0</v>
      </c>
      <c r="AN177" s="37">
        <v>21</v>
      </c>
      <c r="AO177" s="37">
        <f t="shared" si="184"/>
        <v>0</v>
      </c>
      <c r="AP177" s="37">
        <f t="shared" si="185"/>
        <v>0</v>
      </c>
      <c r="AQ177" s="39" t="s">
        <v>13</v>
      </c>
      <c r="AV177" s="37">
        <f t="shared" si="175"/>
        <v>0</v>
      </c>
      <c r="AW177" s="37">
        <f t="shared" si="176"/>
        <v>0</v>
      </c>
      <c r="AX177" s="37">
        <f t="shared" si="177"/>
        <v>0</v>
      </c>
      <c r="AY177" s="40" t="s">
        <v>1212</v>
      </c>
      <c r="AZ177" s="40" t="s">
        <v>1256</v>
      </c>
      <c r="BA177" s="35" t="s">
        <v>1262</v>
      </c>
      <c r="BC177" s="37">
        <f t="shared" si="178"/>
        <v>0</v>
      </c>
      <c r="BD177" s="37">
        <f t="shared" si="179"/>
        <v>0</v>
      </c>
      <c r="BE177" s="37">
        <v>0</v>
      </c>
      <c r="BF177" s="37">
        <f t="shared" si="180"/>
        <v>354</v>
      </c>
      <c r="BH177" s="26">
        <f t="shared" si="181"/>
        <v>0</v>
      </c>
      <c r="BI177" s="26">
        <f t="shared" si="182"/>
        <v>0</v>
      </c>
      <c r="BJ177" s="26">
        <f t="shared" si="183"/>
        <v>0</v>
      </c>
      <c r="BK177" s="26" t="s">
        <v>1268</v>
      </c>
      <c r="BL177" s="37">
        <v>731</v>
      </c>
    </row>
    <row r="178" spans="1:64" x14ac:dyDescent="0.25">
      <c r="A178" s="7" t="s">
        <v>125</v>
      </c>
      <c r="B178" s="16" t="s">
        <v>464</v>
      </c>
      <c r="C178" s="134" t="s">
        <v>853</v>
      </c>
      <c r="D178" s="135"/>
      <c r="E178" s="135"/>
      <c r="F178" s="135"/>
      <c r="G178" s="16" t="s">
        <v>1170</v>
      </c>
      <c r="H178" s="26">
        <v>4</v>
      </c>
      <c r="I178" s="26">
        <v>0</v>
      </c>
      <c r="J178" s="26">
        <f t="shared" si="161"/>
        <v>0</v>
      </c>
      <c r="K178" s="26">
        <f t="shared" si="162"/>
        <v>0</v>
      </c>
      <c r="L178" s="26">
        <f t="shared" si="163"/>
        <v>0</v>
      </c>
      <c r="M178" s="26">
        <v>1E-3</v>
      </c>
      <c r="N178" s="48">
        <f>H178*178</f>
        <v>712</v>
      </c>
      <c r="O178" s="5"/>
      <c r="Z178" s="37">
        <f t="shared" si="164"/>
        <v>0</v>
      </c>
      <c r="AB178" s="37">
        <f t="shared" si="165"/>
        <v>0</v>
      </c>
      <c r="AC178" s="37">
        <f t="shared" si="166"/>
        <v>0</v>
      </c>
      <c r="AD178" s="37">
        <f t="shared" si="167"/>
        <v>0</v>
      </c>
      <c r="AE178" s="37">
        <f t="shared" si="168"/>
        <v>0</v>
      </c>
      <c r="AF178" s="37">
        <f t="shared" si="169"/>
        <v>0</v>
      </c>
      <c r="AG178" s="37">
        <f t="shared" si="170"/>
        <v>0</v>
      </c>
      <c r="AH178" s="37">
        <f t="shared" si="171"/>
        <v>0</v>
      </c>
      <c r="AI178" s="35"/>
      <c r="AJ178" s="26">
        <f t="shared" si="172"/>
        <v>0</v>
      </c>
      <c r="AK178" s="26">
        <f t="shared" si="173"/>
        <v>0</v>
      </c>
      <c r="AL178" s="26">
        <f t="shared" si="174"/>
        <v>0</v>
      </c>
      <c r="AN178" s="37">
        <v>21</v>
      </c>
      <c r="AO178" s="37">
        <f t="shared" si="184"/>
        <v>0</v>
      </c>
      <c r="AP178" s="37">
        <f t="shared" si="185"/>
        <v>0</v>
      </c>
      <c r="AQ178" s="39" t="s">
        <v>13</v>
      </c>
      <c r="AV178" s="37">
        <f t="shared" si="175"/>
        <v>0</v>
      </c>
      <c r="AW178" s="37">
        <f t="shared" si="176"/>
        <v>0</v>
      </c>
      <c r="AX178" s="37">
        <f t="shared" si="177"/>
        <v>0</v>
      </c>
      <c r="AY178" s="40" t="s">
        <v>1212</v>
      </c>
      <c r="AZ178" s="40" t="s">
        <v>1256</v>
      </c>
      <c r="BA178" s="35" t="s">
        <v>1262</v>
      </c>
      <c r="BC178" s="37">
        <f t="shared" si="178"/>
        <v>0</v>
      </c>
      <c r="BD178" s="37">
        <f t="shared" si="179"/>
        <v>0</v>
      </c>
      <c r="BE178" s="37">
        <v>0</v>
      </c>
      <c r="BF178" s="37">
        <f t="shared" si="180"/>
        <v>712</v>
      </c>
      <c r="BH178" s="26">
        <f t="shared" si="181"/>
        <v>0</v>
      </c>
      <c r="BI178" s="26">
        <f t="shared" si="182"/>
        <v>0</v>
      </c>
      <c r="BJ178" s="26">
        <f t="shared" si="183"/>
        <v>0</v>
      </c>
      <c r="BK178" s="26" t="s">
        <v>1268</v>
      </c>
      <c r="BL178" s="37">
        <v>731</v>
      </c>
    </row>
    <row r="179" spans="1:64" x14ac:dyDescent="0.25">
      <c r="A179" s="7" t="s">
        <v>126</v>
      </c>
      <c r="B179" s="16" t="s">
        <v>465</v>
      </c>
      <c r="C179" s="134" t="s">
        <v>854</v>
      </c>
      <c r="D179" s="135"/>
      <c r="E179" s="135"/>
      <c r="F179" s="135"/>
      <c r="G179" s="16" t="s">
        <v>1170</v>
      </c>
      <c r="H179" s="26">
        <v>4</v>
      </c>
      <c r="I179" s="26">
        <v>0</v>
      </c>
      <c r="J179" s="26">
        <f t="shared" si="161"/>
        <v>0</v>
      </c>
      <c r="K179" s="26">
        <f t="shared" si="162"/>
        <v>0</v>
      </c>
      <c r="L179" s="26">
        <f t="shared" si="163"/>
        <v>0</v>
      </c>
      <c r="M179" s="26">
        <v>1E-3</v>
      </c>
      <c r="N179" s="48">
        <f>H179*179</f>
        <v>716</v>
      </c>
      <c r="O179" s="5"/>
      <c r="Z179" s="37">
        <f t="shared" si="164"/>
        <v>0</v>
      </c>
      <c r="AB179" s="37">
        <f t="shared" si="165"/>
        <v>0</v>
      </c>
      <c r="AC179" s="37">
        <f t="shared" si="166"/>
        <v>0</v>
      </c>
      <c r="AD179" s="37">
        <f t="shared" si="167"/>
        <v>0</v>
      </c>
      <c r="AE179" s="37">
        <f t="shared" si="168"/>
        <v>0</v>
      </c>
      <c r="AF179" s="37">
        <f t="shared" si="169"/>
        <v>0</v>
      </c>
      <c r="AG179" s="37">
        <f t="shared" si="170"/>
        <v>0</v>
      </c>
      <c r="AH179" s="37">
        <f t="shared" si="171"/>
        <v>0</v>
      </c>
      <c r="AI179" s="35"/>
      <c r="AJ179" s="26">
        <f t="shared" si="172"/>
        <v>0</v>
      </c>
      <c r="AK179" s="26">
        <f t="shared" si="173"/>
        <v>0</v>
      </c>
      <c r="AL179" s="26">
        <f t="shared" si="174"/>
        <v>0</v>
      </c>
      <c r="AN179" s="37">
        <v>21</v>
      </c>
      <c r="AO179" s="37">
        <f t="shared" si="184"/>
        <v>0</v>
      </c>
      <c r="AP179" s="37">
        <f t="shared" si="185"/>
        <v>0</v>
      </c>
      <c r="AQ179" s="39" t="s">
        <v>13</v>
      </c>
      <c r="AV179" s="37">
        <f t="shared" si="175"/>
        <v>0</v>
      </c>
      <c r="AW179" s="37">
        <f t="shared" si="176"/>
        <v>0</v>
      </c>
      <c r="AX179" s="37">
        <f t="shared" si="177"/>
        <v>0</v>
      </c>
      <c r="AY179" s="40" t="s">
        <v>1212</v>
      </c>
      <c r="AZ179" s="40" t="s">
        <v>1256</v>
      </c>
      <c r="BA179" s="35" t="s">
        <v>1262</v>
      </c>
      <c r="BC179" s="37">
        <f t="shared" si="178"/>
        <v>0</v>
      </c>
      <c r="BD179" s="37">
        <f t="shared" si="179"/>
        <v>0</v>
      </c>
      <c r="BE179" s="37">
        <v>0</v>
      </c>
      <c r="BF179" s="37">
        <f t="shared" si="180"/>
        <v>716</v>
      </c>
      <c r="BH179" s="26">
        <f t="shared" si="181"/>
        <v>0</v>
      </c>
      <c r="BI179" s="26">
        <f t="shared" si="182"/>
        <v>0</v>
      </c>
      <c r="BJ179" s="26">
        <f t="shared" si="183"/>
        <v>0</v>
      </c>
      <c r="BK179" s="26" t="s">
        <v>1268</v>
      </c>
      <c r="BL179" s="37">
        <v>731</v>
      </c>
    </row>
    <row r="180" spans="1:64" x14ac:dyDescent="0.25">
      <c r="A180" s="7" t="s">
        <v>127</v>
      </c>
      <c r="B180" s="16" t="s">
        <v>466</v>
      </c>
      <c r="C180" s="134" t="s">
        <v>855</v>
      </c>
      <c r="D180" s="135"/>
      <c r="E180" s="135"/>
      <c r="F180" s="135"/>
      <c r="G180" s="16" t="s">
        <v>1170</v>
      </c>
      <c r="H180" s="26">
        <v>2</v>
      </c>
      <c r="I180" s="26">
        <v>0</v>
      </c>
      <c r="J180" s="26">
        <f t="shared" si="161"/>
        <v>0</v>
      </c>
      <c r="K180" s="26">
        <f t="shared" si="162"/>
        <v>0</v>
      </c>
      <c r="L180" s="26">
        <f t="shared" si="163"/>
        <v>0</v>
      </c>
      <c r="M180" s="26">
        <v>0.01</v>
      </c>
      <c r="N180" s="48">
        <f>H180*180</f>
        <v>360</v>
      </c>
      <c r="O180" s="5"/>
      <c r="Z180" s="37">
        <f t="shared" si="164"/>
        <v>0</v>
      </c>
      <c r="AB180" s="37">
        <f t="shared" si="165"/>
        <v>0</v>
      </c>
      <c r="AC180" s="37">
        <f t="shared" si="166"/>
        <v>0</v>
      </c>
      <c r="AD180" s="37">
        <f t="shared" si="167"/>
        <v>0</v>
      </c>
      <c r="AE180" s="37">
        <f t="shared" si="168"/>
        <v>0</v>
      </c>
      <c r="AF180" s="37">
        <f t="shared" si="169"/>
        <v>0</v>
      </c>
      <c r="AG180" s="37">
        <f t="shared" si="170"/>
        <v>0</v>
      </c>
      <c r="AH180" s="37">
        <f t="shared" si="171"/>
        <v>0</v>
      </c>
      <c r="AI180" s="35"/>
      <c r="AJ180" s="26">
        <f t="shared" si="172"/>
        <v>0</v>
      </c>
      <c r="AK180" s="26">
        <f t="shared" si="173"/>
        <v>0</v>
      </c>
      <c r="AL180" s="26">
        <f t="shared" si="174"/>
        <v>0</v>
      </c>
      <c r="AN180" s="37">
        <v>21</v>
      </c>
      <c r="AO180" s="37">
        <f t="shared" si="184"/>
        <v>0</v>
      </c>
      <c r="AP180" s="37">
        <f t="shared" si="185"/>
        <v>0</v>
      </c>
      <c r="AQ180" s="39" t="s">
        <v>13</v>
      </c>
      <c r="AV180" s="37">
        <f t="shared" si="175"/>
        <v>0</v>
      </c>
      <c r="AW180" s="37">
        <f t="shared" si="176"/>
        <v>0</v>
      </c>
      <c r="AX180" s="37">
        <f t="shared" si="177"/>
        <v>0</v>
      </c>
      <c r="AY180" s="40" t="s">
        <v>1212</v>
      </c>
      <c r="AZ180" s="40" t="s">
        <v>1256</v>
      </c>
      <c r="BA180" s="35" t="s">
        <v>1262</v>
      </c>
      <c r="BC180" s="37">
        <f t="shared" si="178"/>
        <v>0</v>
      </c>
      <c r="BD180" s="37">
        <f t="shared" si="179"/>
        <v>0</v>
      </c>
      <c r="BE180" s="37">
        <v>0</v>
      </c>
      <c r="BF180" s="37">
        <f t="shared" si="180"/>
        <v>360</v>
      </c>
      <c r="BH180" s="26">
        <f t="shared" si="181"/>
        <v>0</v>
      </c>
      <c r="BI180" s="26">
        <f t="shared" si="182"/>
        <v>0</v>
      </c>
      <c r="BJ180" s="26">
        <f t="shared" si="183"/>
        <v>0</v>
      </c>
      <c r="BK180" s="26" t="s">
        <v>1268</v>
      </c>
      <c r="BL180" s="37">
        <v>731</v>
      </c>
    </row>
    <row r="181" spans="1:64" x14ac:dyDescent="0.25">
      <c r="A181" s="7" t="s">
        <v>128</v>
      </c>
      <c r="B181" s="16" t="s">
        <v>467</v>
      </c>
      <c r="C181" s="134" t="s">
        <v>856</v>
      </c>
      <c r="D181" s="135"/>
      <c r="E181" s="135"/>
      <c r="F181" s="135"/>
      <c r="G181" s="16" t="s">
        <v>1171</v>
      </c>
      <c r="H181" s="26">
        <v>4</v>
      </c>
      <c r="I181" s="26">
        <v>0</v>
      </c>
      <c r="J181" s="26">
        <f t="shared" si="161"/>
        <v>0</v>
      </c>
      <c r="K181" s="26">
        <f t="shared" si="162"/>
        <v>0</v>
      </c>
      <c r="L181" s="26">
        <f t="shared" si="163"/>
        <v>0</v>
      </c>
      <c r="M181" s="26">
        <v>1E-3</v>
      </c>
      <c r="N181" s="48">
        <f>H181*181</f>
        <v>724</v>
      </c>
      <c r="O181" s="5"/>
      <c r="Z181" s="37">
        <f t="shared" si="164"/>
        <v>0</v>
      </c>
      <c r="AB181" s="37">
        <f t="shared" si="165"/>
        <v>0</v>
      </c>
      <c r="AC181" s="37">
        <f t="shared" si="166"/>
        <v>0</v>
      </c>
      <c r="AD181" s="37">
        <f t="shared" si="167"/>
        <v>0</v>
      </c>
      <c r="AE181" s="37">
        <f t="shared" si="168"/>
        <v>0</v>
      </c>
      <c r="AF181" s="37">
        <f t="shared" si="169"/>
        <v>0</v>
      </c>
      <c r="AG181" s="37">
        <f t="shared" si="170"/>
        <v>0</v>
      </c>
      <c r="AH181" s="37">
        <f t="shared" si="171"/>
        <v>0</v>
      </c>
      <c r="AI181" s="35"/>
      <c r="AJ181" s="26">
        <f t="shared" si="172"/>
        <v>0</v>
      </c>
      <c r="AK181" s="26">
        <f t="shared" si="173"/>
        <v>0</v>
      </c>
      <c r="AL181" s="26">
        <f t="shared" si="174"/>
        <v>0</v>
      </c>
      <c r="AN181" s="37">
        <v>21</v>
      </c>
      <c r="AO181" s="37">
        <f t="shared" si="184"/>
        <v>0</v>
      </c>
      <c r="AP181" s="37">
        <f t="shared" si="185"/>
        <v>0</v>
      </c>
      <c r="AQ181" s="39" t="s">
        <v>13</v>
      </c>
      <c r="AV181" s="37">
        <f t="shared" si="175"/>
        <v>0</v>
      </c>
      <c r="AW181" s="37">
        <f t="shared" si="176"/>
        <v>0</v>
      </c>
      <c r="AX181" s="37">
        <f t="shared" si="177"/>
        <v>0</v>
      </c>
      <c r="AY181" s="40" t="s">
        <v>1212</v>
      </c>
      <c r="AZ181" s="40" t="s">
        <v>1256</v>
      </c>
      <c r="BA181" s="35" t="s">
        <v>1262</v>
      </c>
      <c r="BC181" s="37">
        <f t="shared" si="178"/>
        <v>0</v>
      </c>
      <c r="BD181" s="37">
        <f t="shared" si="179"/>
        <v>0</v>
      </c>
      <c r="BE181" s="37">
        <v>0</v>
      </c>
      <c r="BF181" s="37">
        <f t="shared" si="180"/>
        <v>724</v>
      </c>
      <c r="BH181" s="26">
        <f t="shared" si="181"/>
        <v>0</v>
      </c>
      <c r="BI181" s="26">
        <f t="shared" si="182"/>
        <v>0</v>
      </c>
      <c r="BJ181" s="26">
        <f t="shared" si="183"/>
        <v>0</v>
      </c>
      <c r="BK181" s="26" t="s">
        <v>1268</v>
      </c>
      <c r="BL181" s="37">
        <v>731</v>
      </c>
    </row>
    <row r="182" spans="1:64" x14ac:dyDescent="0.25">
      <c r="A182" s="7" t="s">
        <v>129</v>
      </c>
      <c r="B182" s="16" t="s">
        <v>466</v>
      </c>
      <c r="C182" s="134" t="s">
        <v>857</v>
      </c>
      <c r="D182" s="135"/>
      <c r="E182" s="135"/>
      <c r="F182" s="135"/>
      <c r="G182" s="16" t="s">
        <v>1171</v>
      </c>
      <c r="H182" s="26">
        <v>1</v>
      </c>
      <c r="I182" s="26">
        <v>0</v>
      </c>
      <c r="J182" s="26">
        <f t="shared" si="161"/>
        <v>0</v>
      </c>
      <c r="K182" s="26">
        <f t="shared" si="162"/>
        <v>0</v>
      </c>
      <c r="L182" s="26">
        <f t="shared" si="163"/>
        <v>0</v>
      </c>
      <c r="M182" s="26">
        <v>0.1</v>
      </c>
      <c r="N182" s="48">
        <f>H182*182</f>
        <v>182</v>
      </c>
      <c r="O182" s="5"/>
      <c r="Z182" s="37">
        <f t="shared" si="164"/>
        <v>0</v>
      </c>
      <c r="AB182" s="37">
        <f t="shared" si="165"/>
        <v>0</v>
      </c>
      <c r="AC182" s="37">
        <f t="shared" si="166"/>
        <v>0</v>
      </c>
      <c r="AD182" s="37">
        <f t="shared" si="167"/>
        <v>0</v>
      </c>
      <c r="AE182" s="37">
        <f t="shared" si="168"/>
        <v>0</v>
      </c>
      <c r="AF182" s="37">
        <f t="shared" si="169"/>
        <v>0</v>
      </c>
      <c r="AG182" s="37">
        <f t="shared" si="170"/>
        <v>0</v>
      </c>
      <c r="AH182" s="37">
        <f t="shared" si="171"/>
        <v>0</v>
      </c>
      <c r="AI182" s="35"/>
      <c r="AJ182" s="26">
        <f t="shared" si="172"/>
        <v>0</v>
      </c>
      <c r="AK182" s="26">
        <f t="shared" si="173"/>
        <v>0</v>
      </c>
      <c r="AL182" s="26">
        <f t="shared" si="174"/>
        <v>0</v>
      </c>
      <c r="AN182" s="37">
        <v>21</v>
      </c>
      <c r="AO182" s="37">
        <f t="shared" si="184"/>
        <v>0</v>
      </c>
      <c r="AP182" s="37">
        <f t="shared" si="185"/>
        <v>0</v>
      </c>
      <c r="AQ182" s="39" t="s">
        <v>13</v>
      </c>
      <c r="AV182" s="37">
        <f t="shared" si="175"/>
        <v>0</v>
      </c>
      <c r="AW182" s="37">
        <f t="shared" si="176"/>
        <v>0</v>
      </c>
      <c r="AX182" s="37">
        <f t="shared" si="177"/>
        <v>0</v>
      </c>
      <c r="AY182" s="40" t="s">
        <v>1212</v>
      </c>
      <c r="AZ182" s="40" t="s">
        <v>1256</v>
      </c>
      <c r="BA182" s="35" t="s">
        <v>1262</v>
      </c>
      <c r="BC182" s="37">
        <f t="shared" si="178"/>
        <v>0</v>
      </c>
      <c r="BD182" s="37">
        <f t="shared" si="179"/>
        <v>0</v>
      </c>
      <c r="BE182" s="37">
        <v>0</v>
      </c>
      <c r="BF182" s="37">
        <f t="shared" si="180"/>
        <v>182</v>
      </c>
      <c r="BH182" s="26">
        <f t="shared" si="181"/>
        <v>0</v>
      </c>
      <c r="BI182" s="26">
        <f t="shared" si="182"/>
        <v>0</v>
      </c>
      <c r="BJ182" s="26">
        <f t="shared" si="183"/>
        <v>0</v>
      </c>
      <c r="BK182" s="26" t="s">
        <v>1268</v>
      </c>
      <c r="BL182" s="37">
        <v>731</v>
      </c>
    </row>
    <row r="183" spans="1:64" x14ac:dyDescent="0.25">
      <c r="A183" s="7" t="s">
        <v>130</v>
      </c>
      <c r="B183" s="16" t="s">
        <v>466</v>
      </c>
      <c r="C183" s="134" t="s">
        <v>858</v>
      </c>
      <c r="D183" s="135"/>
      <c r="E183" s="135"/>
      <c r="F183" s="135"/>
      <c r="G183" s="16" t="s">
        <v>1171</v>
      </c>
      <c r="H183" s="26">
        <v>1</v>
      </c>
      <c r="I183" s="26">
        <v>0</v>
      </c>
      <c r="J183" s="26">
        <f t="shared" si="161"/>
        <v>0</v>
      </c>
      <c r="K183" s="26">
        <f t="shared" si="162"/>
        <v>0</v>
      </c>
      <c r="L183" s="26">
        <f t="shared" si="163"/>
        <v>0</v>
      </c>
      <c r="M183" s="26">
        <v>1E-3</v>
      </c>
      <c r="N183" s="48">
        <f>H183*183</f>
        <v>183</v>
      </c>
      <c r="O183" s="5"/>
      <c r="Z183" s="37">
        <f t="shared" si="164"/>
        <v>0</v>
      </c>
      <c r="AB183" s="37">
        <f t="shared" si="165"/>
        <v>0</v>
      </c>
      <c r="AC183" s="37">
        <f t="shared" si="166"/>
        <v>0</v>
      </c>
      <c r="AD183" s="37">
        <f t="shared" si="167"/>
        <v>0</v>
      </c>
      <c r="AE183" s="37">
        <f t="shared" si="168"/>
        <v>0</v>
      </c>
      <c r="AF183" s="37">
        <f t="shared" si="169"/>
        <v>0</v>
      </c>
      <c r="AG183" s="37">
        <f t="shared" si="170"/>
        <v>0</v>
      </c>
      <c r="AH183" s="37">
        <f t="shared" si="171"/>
        <v>0</v>
      </c>
      <c r="AI183" s="35"/>
      <c r="AJ183" s="26">
        <f t="shared" si="172"/>
        <v>0</v>
      </c>
      <c r="AK183" s="26">
        <f t="shared" si="173"/>
        <v>0</v>
      </c>
      <c r="AL183" s="26">
        <f t="shared" si="174"/>
        <v>0</v>
      </c>
      <c r="AN183" s="37">
        <v>21</v>
      </c>
      <c r="AO183" s="37">
        <f t="shared" si="184"/>
        <v>0</v>
      </c>
      <c r="AP183" s="37">
        <f t="shared" si="185"/>
        <v>0</v>
      </c>
      <c r="AQ183" s="39" t="s">
        <v>13</v>
      </c>
      <c r="AV183" s="37">
        <f t="shared" si="175"/>
        <v>0</v>
      </c>
      <c r="AW183" s="37">
        <f t="shared" si="176"/>
        <v>0</v>
      </c>
      <c r="AX183" s="37">
        <f t="shared" si="177"/>
        <v>0</v>
      </c>
      <c r="AY183" s="40" t="s">
        <v>1212</v>
      </c>
      <c r="AZ183" s="40" t="s">
        <v>1256</v>
      </c>
      <c r="BA183" s="35" t="s">
        <v>1262</v>
      </c>
      <c r="BC183" s="37">
        <f t="shared" si="178"/>
        <v>0</v>
      </c>
      <c r="BD183" s="37">
        <f t="shared" si="179"/>
        <v>0</v>
      </c>
      <c r="BE183" s="37">
        <v>0</v>
      </c>
      <c r="BF183" s="37">
        <f t="shared" si="180"/>
        <v>183</v>
      </c>
      <c r="BH183" s="26">
        <f t="shared" si="181"/>
        <v>0</v>
      </c>
      <c r="BI183" s="26">
        <f t="shared" si="182"/>
        <v>0</v>
      </c>
      <c r="BJ183" s="26">
        <f t="shared" si="183"/>
        <v>0</v>
      </c>
      <c r="BK183" s="26" t="s">
        <v>1268</v>
      </c>
      <c r="BL183" s="37">
        <v>731</v>
      </c>
    </row>
    <row r="184" spans="1:64" x14ac:dyDescent="0.25">
      <c r="A184" s="7" t="s">
        <v>131</v>
      </c>
      <c r="B184" s="16" t="s">
        <v>468</v>
      </c>
      <c r="C184" s="134" t="s">
        <v>859</v>
      </c>
      <c r="D184" s="135"/>
      <c r="E184" s="135"/>
      <c r="F184" s="135"/>
      <c r="G184" s="16" t="s">
        <v>1171</v>
      </c>
      <c r="H184" s="26">
        <v>2</v>
      </c>
      <c r="I184" s="26">
        <v>0</v>
      </c>
      <c r="J184" s="26">
        <f t="shared" si="161"/>
        <v>0</v>
      </c>
      <c r="K184" s="26">
        <f t="shared" si="162"/>
        <v>0</v>
      </c>
      <c r="L184" s="26">
        <f t="shared" si="163"/>
        <v>0</v>
      </c>
      <c r="M184" s="26">
        <v>3.0000000000000001E-3</v>
      </c>
      <c r="N184" s="48">
        <f>H184*184</f>
        <v>368</v>
      </c>
      <c r="O184" s="5"/>
      <c r="Z184" s="37">
        <f t="shared" si="164"/>
        <v>0</v>
      </c>
      <c r="AB184" s="37">
        <f t="shared" si="165"/>
        <v>0</v>
      </c>
      <c r="AC184" s="37">
        <f t="shared" si="166"/>
        <v>0</v>
      </c>
      <c r="AD184" s="37">
        <f t="shared" si="167"/>
        <v>0</v>
      </c>
      <c r="AE184" s="37">
        <f t="shared" si="168"/>
        <v>0</v>
      </c>
      <c r="AF184" s="37">
        <f t="shared" si="169"/>
        <v>0</v>
      </c>
      <c r="AG184" s="37">
        <f t="shared" si="170"/>
        <v>0</v>
      </c>
      <c r="AH184" s="37">
        <f t="shared" si="171"/>
        <v>0</v>
      </c>
      <c r="AI184" s="35"/>
      <c r="AJ184" s="26">
        <f t="shared" si="172"/>
        <v>0</v>
      </c>
      <c r="AK184" s="26">
        <f t="shared" si="173"/>
        <v>0</v>
      </c>
      <c r="AL184" s="26">
        <f t="shared" si="174"/>
        <v>0</v>
      </c>
      <c r="AN184" s="37">
        <v>21</v>
      </c>
      <c r="AO184" s="37">
        <f t="shared" si="184"/>
        <v>0</v>
      </c>
      <c r="AP184" s="37">
        <f t="shared" si="185"/>
        <v>0</v>
      </c>
      <c r="AQ184" s="39" t="s">
        <v>13</v>
      </c>
      <c r="AV184" s="37">
        <f t="shared" si="175"/>
        <v>0</v>
      </c>
      <c r="AW184" s="37">
        <f t="shared" si="176"/>
        <v>0</v>
      </c>
      <c r="AX184" s="37">
        <f t="shared" si="177"/>
        <v>0</v>
      </c>
      <c r="AY184" s="40" t="s">
        <v>1212</v>
      </c>
      <c r="AZ184" s="40" t="s">
        <v>1256</v>
      </c>
      <c r="BA184" s="35" t="s">
        <v>1262</v>
      </c>
      <c r="BC184" s="37">
        <f t="shared" si="178"/>
        <v>0</v>
      </c>
      <c r="BD184" s="37">
        <f t="shared" si="179"/>
        <v>0</v>
      </c>
      <c r="BE184" s="37">
        <v>0</v>
      </c>
      <c r="BF184" s="37">
        <f t="shared" si="180"/>
        <v>368</v>
      </c>
      <c r="BH184" s="26">
        <f t="shared" si="181"/>
        <v>0</v>
      </c>
      <c r="BI184" s="26">
        <f t="shared" si="182"/>
        <v>0</v>
      </c>
      <c r="BJ184" s="26">
        <f t="shared" si="183"/>
        <v>0</v>
      </c>
      <c r="BK184" s="26" t="s">
        <v>1268</v>
      </c>
      <c r="BL184" s="37">
        <v>731</v>
      </c>
    </row>
    <row r="185" spans="1:64" x14ac:dyDescent="0.25">
      <c r="A185" s="4" t="s">
        <v>132</v>
      </c>
      <c r="B185" s="14" t="s">
        <v>469</v>
      </c>
      <c r="C185" s="130" t="s">
        <v>860</v>
      </c>
      <c r="D185" s="131"/>
      <c r="E185" s="131"/>
      <c r="F185" s="131"/>
      <c r="G185" s="14" t="s">
        <v>1170</v>
      </c>
      <c r="H185" s="24">
        <v>1</v>
      </c>
      <c r="I185" s="24">
        <v>0</v>
      </c>
      <c r="J185" s="24">
        <f t="shared" si="161"/>
        <v>0</v>
      </c>
      <c r="K185" s="24">
        <f t="shared" si="162"/>
        <v>0</v>
      </c>
      <c r="L185" s="24">
        <f t="shared" si="163"/>
        <v>0</v>
      </c>
      <c r="M185" s="24">
        <v>0</v>
      </c>
      <c r="N185" s="46">
        <f>H185*185</f>
        <v>185</v>
      </c>
      <c r="O185" s="5"/>
      <c r="Z185" s="37">
        <f t="shared" si="164"/>
        <v>0</v>
      </c>
      <c r="AB185" s="37">
        <f t="shared" si="165"/>
        <v>0</v>
      </c>
      <c r="AC185" s="37">
        <f t="shared" si="166"/>
        <v>0</v>
      </c>
      <c r="AD185" s="37">
        <f t="shared" si="167"/>
        <v>0</v>
      </c>
      <c r="AE185" s="37">
        <f t="shared" si="168"/>
        <v>0</v>
      </c>
      <c r="AF185" s="37">
        <f t="shared" si="169"/>
        <v>0</v>
      </c>
      <c r="AG185" s="37">
        <f t="shared" si="170"/>
        <v>0</v>
      </c>
      <c r="AH185" s="37">
        <f t="shared" si="171"/>
        <v>0</v>
      </c>
      <c r="AI185" s="35"/>
      <c r="AJ185" s="24">
        <f t="shared" si="172"/>
        <v>0</v>
      </c>
      <c r="AK185" s="24">
        <f t="shared" si="173"/>
        <v>0</v>
      </c>
      <c r="AL185" s="24">
        <f t="shared" si="174"/>
        <v>0</v>
      </c>
      <c r="AN185" s="37">
        <v>21</v>
      </c>
      <c r="AO185" s="37">
        <f>I185*0.126126126126126</f>
        <v>0</v>
      </c>
      <c r="AP185" s="37">
        <f>I185*(1-0.126126126126126)</f>
        <v>0</v>
      </c>
      <c r="AQ185" s="38" t="s">
        <v>13</v>
      </c>
      <c r="AV185" s="37">
        <f t="shared" si="175"/>
        <v>0</v>
      </c>
      <c r="AW185" s="37">
        <f t="shared" si="176"/>
        <v>0</v>
      </c>
      <c r="AX185" s="37">
        <f t="shared" si="177"/>
        <v>0</v>
      </c>
      <c r="AY185" s="40" t="s">
        <v>1212</v>
      </c>
      <c r="AZ185" s="40" t="s">
        <v>1256</v>
      </c>
      <c r="BA185" s="35" t="s">
        <v>1262</v>
      </c>
      <c r="BC185" s="37">
        <f t="shared" si="178"/>
        <v>0</v>
      </c>
      <c r="BD185" s="37">
        <f t="shared" si="179"/>
        <v>0</v>
      </c>
      <c r="BE185" s="37">
        <v>0</v>
      </c>
      <c r="BF185" s="37">
        <f t="shared" si="180"/>
        <v>185</v>
      </c>
      <c r="BH185" s="24">
        <f t="shared" si="181"/>
        <v>0</v>
      </c>
      <c r="BI185" s="24">
        <f t="shared" si="182"/>
        <v>0</v>
      </c>
      <c r="BJ185" s="24">
        <f t="shared" si="183"/>
        <v>0</v>
      </c>
      <c r="BK185" s="24" t="s">
        <v>1267</v>
      </c>
      <c r="BL185" s="37">
        <v>731</v>
      </c>
    </row>
    <row r="186" spans="1:64" x14ac:dyDescent="0.25">
      <c r="A186" s="7" t="s">
        <v>133</v>
      </c>
      <c r="B186" s="16" t="s">
        <v>470</v>
      </c>
      <c r="C186" s="134" t="s">
        <v>861</v>
      </c>
      <c r="D186" s="135"/>
      <c r="E186" s="135"/>
      <c r="F186" s="135"/>
      <c r="G186" s="16" t="s">
        <v>1170</v>
      </c>
      <c r="H186" s="26">
        <v>1</v>
      </c>
      <c r="I186" s="26">
        <v>0</v>
      </c>
      <c r="J186" s="26">
        <f t="shared" si="161"/>
        <v>0</v>
      </c>
      <c r="K186" s="26">
        <f t="shared" si="162"/>
        <v>0</v>
      </c>
      <c r="L186" s="26">
        <f t="shared" si="163"/>
        <v>0</v>
      </c>
      <c r="M186" s="26">
        <v>1.4E-2</v>
      </c>
      <c r="N186" s="48">
        <f>H186*186</f>
        <v>186</v>
      </c>
      <c r="O186" s="5"/>
      <c r="Z186" s="37">
        <f t="shared" si="164"/>
        <v>0</v>
      </c>
      <c r="AB186" s="37">
        <f t="shared" si="165"/>
        <v>0</v>
      </c>
      <c r="AC186" s="37">
        <f t="shared" si="166"/>
        <v>0</v>
      </c>
      <c r="AD186" s="37">
        <f t="shared" si="167"/>
        <v>0</v>
      </c>
      <c r="AE186" s="37">
        <f t="shared" si="168"/>
        <v>0</v>
      </c>
      <c r="AF186" s="37">
        <f t="shared" si="169"/>
        <v>0</v>
      </c>
      <c r="AG186" s="37">
        <f t="shared" si="170"/>
        <v>0</v>
      </c>
      <c r="AH186" s="37">
        <f t="shared" si="171"/>
        <v>0</v>
      </c>
      <c r="AI186" s="35"/>
      <c r="AJ186" s="26">
        <f t="shared" si="172"/>
        <v>0</v>
      </c>
      <c r="AK186" s="26">
        <f t="shared" si="173"/>
        <v>0</v>
      </c>
      <c r="AL186" s="26">
        <f t="shared" si="174"/>
        <v>0</v>
      </c>
      <c r="AN186" s="37">
        <v>21</v>
      </c>
      <c r="AO186" s="37">
        <f>I186*1</f>
        <v>0</v>
      </c>
      <c r="AP186" s="37">
        <f>I186*(1-1)</f>
        <v>0</v>
      </c>
      <c r="AQ186" s="39" t="s">
        <v>13</v>
      </c>
      <c r="AV186" s="37">
        <f t="shared" si="175"/>
        <v>0</v>
      </c>
      <c r="AW186" s="37">
        <f t="shared" si="176"/>
        <v>0</v>
      </c>
      <c r="AX186" s="37">
        <f t="shared" si="177"/>
        <v>0</v>
      </c>
      <c r="AY186" s="40" t="s">
        <v>1212</v>
      </c>
      <c r="AZ186" s="40" t="s">
        <v>1256</v>
      </c>
      <c r="BA186" s="35" t="s">
        <v>1262</v>
      </c>
      <c r="BC186" s="37">
        <f t="shared" si="178"/>
        <v>0</v>
      </c>
      <c r="BD186" s="37">
        <f t="shared" si="179"/>
        <v>0</v>
      </c>
      <c r="BE186" s="37">
        <v>0</v>
      </c>
      <c r="BF186" s="37">
        <f t="shared" si="180"/>
        <v>186</v>
      </c>
      <c r="BH186" s="26">
        <f t="shared" si="181"/>
        <v>0</v>
      </c>
      <c r="BI186" s="26">
        <f t="shared" si="182"/>
        <v>0</v>
      </c>
      <c r="BJ186" s="26">
        <f t="shared" si="183"/>
        <v>0</v>
      </c>
      <c r="BK186" s="26" t="s">
        <v>1268</v>
      </c>
      <c r="BL186" s="37">
        <v>731</v>
      </c>
    </row>
    <row r="187" spans="1:64" x14ac:dyDescent="0.25">
      <c r="A187" s="7" t="s">
        <v>134</v>
      </c>
      <c r="B187" s="16" t="s">
        <v>471</v>
      </c>
      <c r="C187" s="134" t="s">
        <v>862</v>
      </c>
      <c r="D187" s="135"/>
      <c r="E187" s="135"/>
      <c r="F187" s="135"/>
      <c r="G187" s="16" t="s">
        <v>1170</v>
      </c>
      <c r="H187" s="26">
        <v>1</v>
      </c>
      <c r="I187" s="26">
        <v>0</v>
      </c>
      <c r="J187" s="26">
        <f t="shared" si="161"/>
        <v>0</v>
      </c>
      <c r="K187" s="26">
        <f t="shared" si="162"/>
        <v>0</v>
      </c>
      <c r="L187" s="26">
        <f t="shared" si="163"/>
        <v>0</v>
      </c>
      <c r="M187" s="26">
        <v>0.01</v>
      </c>
      <c r="N187" s="48">
        <f>H187*187</f>
        <v>187</v>
      </c>
      <c r="O187" s="5"/>
      <c r="Z187" s="37">
        <f t="shared" si="164"/>
        <v>0</v>
      </c>
      <c r="AB187" s="37">
        <f t="shared" si="165"/>
        <v>0</v>
      </c>
      <c r="AC187" s="37">
        <f t="shared" si="166"/>
        <v>0</v>
      </c>
      <c r="AD187" s="37">
        <f t="shared" si="167"/>
        <v>0</v>
      </c>
      <c r="AE187" s="37">
        <f t="shared" si="168"/>
        <v>0</v>
      </c>
      <c r="AF187" s="37">
        <f t="shared" si="169"/>
        <v>0</v>
      </c>
      <c r="AG187" s="37">
        <f t="shared" si="170"/>
        <v>0</v>
      </c>
      <c r="AH187" s="37">
        <f t="shared" si="171"/>
        <v>0</v>
      </c>
      <c r="AI187" s="35"/>
      <c r="AJ187" s="26">
        <f t="shared" si="172"/>
        <v>0</v>
      </c>
      <c r="AK187" s="26">
        <f t="shared" si="173"/>
        <v>0</v>
      </c>
      <c r="AL187" s="26">
        <f t="shared" si="174"/>
        <v>0</v>
      </c>
      <c r="AN187" s="37">
        <v>21</v>
      </c>
      <c r="AO187" s="37">
        <f>I187*1</f>
        <v>0</v>
      </c>
      <c r="AP187" s="37">
        <f>I187*(1-1)</f>
        <v>0</v>
      </c>
      <c r="AQ187" s="39" t="s">
        <v>13</v>
      </c>
      <c r="AV187" s="37">
        <f t="shared" si="175"/>
        <v>0</v>
      </c>
      <c r="AW187" s="37">
        <f t="shared" si="176"/>
        <v>0</v>
      </c>
      <c r="AX187" s="37">
        <f t="shared" si="177"/>
        <v>0</v>
      </c>
      <c r="AY187" s="40" t="s">
        <v>1212</v>
      </c>
      <c r="AZ187" s="40" t="s">
        <v>1256</v>
      </c>
      <c r="BA187" s="35" t="s">
        <v>1262</v>
      </c>
      <c r="BC187" s="37">
        <f t="shared" si="178"/>
        <v>0</v>
      </c>
      <c r="BD187" s="37">
        <f t="shared" si="179"/>
        <v>0</v>
      </c>
      <c r="BE187" s="37">
        <v>0</v>
      </c>
      <c r="BF187" s="37">
        <f t="shared" si="180"/>
        <v>187</v>
      </c>
      <c r="BH187" s="26">
        <f t="shared" si="181"/>
        <v>0</v>
      </c>
      <c r="BI187" s="26">
        <f t="shared" si="182"/>
        <v>0</v>
      </c>
      <c r="BJ187" s="26">
        <f t="shared" si="183"/>
        <v>0</v>
      </c>
      <c r="BK187" s="26" t="s">
        <v>1268</v>
      </c>
      <c r="BL187" s="37">
        <v>731</v>
      </c>
    </row>
    <row r="188" spans="1:64" x14ac:dyDescent="0.25">
      <c r="A188" s="6"/>
      <c r="B188" s="15" t="s">
        <v>472</v>
      </c>
      <c r="C188" s="132" t="s">
        <v>863</v>
      </c>
      <c r="D188" s="133"/>
      <c r="E188" s="133"/>
      <c r="F188" s="133"/>
      <c r="G188" s="22" t="s">
        <v>6</v>
      </c>
      <c r="H188" s="22" t="s">
        <v>6</v>
      </c>
      <c r="I188" s="22" t="s">
        <v>6</v>
      </c>
      <c r="J188" s="43">
        <f>SUM(J189:J212)</f>
        <v>0</v>
      </c>
      <c r="K188" s="43">
        <f>SUM(K189:K212)</f>
        <v>0</v>
      </c>
      <c r="L188" s="43">
        <f>SUM(L189:L212)</f>
        <v>0</v>
      </c>
      <c r="M188" s="35"/>
      <c r="N188" s="47">
        <f>SUM(N189:N212)</f>
        <v>5948</v>
      </c>
      <c r="O188" s="5"/>
      <c r="AI188" s="35"/>
      <c r="AS188" s="43">
        <f>SUM(AJ189:AJ212)</f>
        <v>0</v>
      </c>
      <c r="AT188" s="43">
        <f>SUM(AK189:AK212)</f>
        <v>0</v>
      </c>
      <c r="AU188" s="43">
        <f>SUM(AL189:AL212)</f>
        <v>0</v>
      </c>
    </row>
    <row r="189" spans="1:64" x14ac:dyDescent="0.25">
      <c r="A189" s="4" t="s">
        <v>135</v>
      </c>
      <c r="B189" s="14" t="s">
        <v>473</v>
      </c>
      <c r="C189" s="130" t="s">
        <v>864</v>
      </c>
      <c r="D189" s="131"/>
      <c r="E189" s="131"/>
      <c r="F189" s="131"/>
      <c r="G189" s="14" t="s">
        <v>1170</v>
      </c>
      <c r="H189" s="24">
        <v>1</v>
      </c>
      <c r="I189" s="24">
        <v>0</v>
      </c>
      <c r="J189" s="24">
        <f t="shared" ref="J189:J195" si="186">H189*AO189</f>
        <v>0</v>
      </c>
      <c r="K189" s="24">
        <f t="shared" ref="K189:K195" si="187">H189*AP189</f>
        <v>0</v>
      </c>
      <c r="L189" s="24">
        <f t="shared" ref="L189:L195" si="188">H189*I189</f>
        <v>0</v>
      </c>
      <c r="M189" s="24">
        <v>0</v>
      </c>
      <c r="N189" s="46">
        <f>H189*189</f>
        <v>189</v>
      </c>
      <c r="O189" s="5"/>
      <c r="Z189" s="37">
        <f t="shared" ref="Z189:Z195" si="189">IF(AQ189="5",BJ189,0)</f>
        <v>0</v>
      </c>
      <c r="AB189" s="37">
        <f t="shared" ref="AB189:AB195" si="190">IF(AQ189="1",BH189,0)</f>
        <v>0</v>
      </c>
      <c r="AC189" s="37">
        <f t="shared" ref="AC189:AC195" si="191">IF(AQ189="1",BI189,0)</f>
        <v>0</v>
      </c>
      <c r="AD189" s="37">
        <f t="shared" ref="AD189:AD195" si="192">IF(AQ189="7",BH189,0)</f>
        <v>0</v>
      </c>
      <c r="AE189" s="37">
        <f t="shared" ref="AE189:AE195" si="193">IF(AQ189="7",BI189,0)</f>
        <v>0</v>
      </c>
      <c r="AF189" s="37">
        <f t="shared" ref="AF189:AF195" si="194">IF(AQ189="2",BH189,0)</f>
        <v>0</v>
      </c>
      <c r="AG189" s="37">
        <f t="shared" ref="AG189:AG195" si="195">IF(AQ189="2",BI189,0)</f>
        <v>0</v>
      </c>
      <c r="AH189" s="37">
        <f t="shared" ref="AH189:AH195" si="196">IF(AQ189="0",BJ189,0)</f>
        <v>0</v>
      </c>
      <c r="AI189" s="35"/>
      <c r="AJ189" s="24">
        <f t="shared" ref="AJ189:AJ195" si="197">IF(AN189=0,L189,0)</f>
        <v>0</v>
      </c>
      <c r="AK189" s="24">
        <f t="shared" ref="AK189:AK195" si="198">IF(AN189=15,L189,0)</f>
        <v>0</v>
      </c>
      <c r="AL189" s="24">
        <f t="shared" ref="AL189:AL195" si="199">IF(AN189=21,L189,0)</f>
        <v>0</v>
      </c>
      <c r="AN189" s="37">
        <v>21</v>
      </c>
      <c r="AO189" s="37">
        <f t="shared" ref="AO189:AO194" si="200">I189*0</f>
        <v>0</v>
      </c>
      <c r="AP189" s="37">
        <f t="shared" ref="AP189:AP194" si="201">I189*(1-0)</f>
        <v>0</v>
      </c>
      <c r="AQ189" s="38" t="s">
        <v>13</v>
      </c>
      <c r="AV189" s="37">
        <f t="shared" ref="AV189:AV195" si="202">AW189+AX189</f>
        <v>0</v>
      </c>
      <c r="AW189" s="37">
        <f t="shared" ref="AW189:AW195" si="203">H189*AO189</f>
        <v>0</v>
      </c>
      <c r="AX189" s="37">
        <f t="shared" ref="AX189:AX195" si="204">H189*AP189</f>
        <v>0</v>
      </c>
      <c r="AY189" s="40" t="s">
        <v>1213</v>
      </c>
      <c r="AZ189" s="40" t="s">
        <v>1256</v>
      </c>
      <c r="BA189" s="35" t="s">
        <v>1262</v>
      </c>
      <c r="BC189" s="37">
        <f t="shared" ref="BC189:BC195" si="205">AW189+AX189</f>
        <v>0</v>
      </c>
      <c r="BD189" s="37">
        <f t="shared" ref="BD189:BD195" si="206">I189/(100-BE189)*100</f>
        <v>0</v>
      </c>
      <c r="BE189" s="37">
        <v>0</v>
      </c>
      <c r="BF189" s="37">
        <f t="shared" ref="BF189:BF195" si="207">N189</f>
        <v>189</v>
      </c>
      <c r="BH189" s="24">
        <f t="shared" ref="BH189:BH195" si="208">H189*AO189</f>
        <v>0</v>
      </c>
      <c r="BI189" s="24">
        <f t="shared" ref="BI189:BI195" si="209">H189*AP189</f>
        <v>0</v>
      </c>
      <c r="BJ189" s="24">
        <f t="shared" ref="BJ189:BJ195" si="210">H189*I189</f>
        <v>0</v>
      </c>
      <c r="BK189" s="24" t="s">
        <v>1267</v>
      </c>
      <c r="BL189" s="37">
        <v>732</v>
      </c>
    </row>
    <row r="190" spans="1:64" x14ac:dyDescent="0.25">
      <c r="A190" s="4" t="s">
        <v>136</v>
      </c>
      <c r="B190" s="14" t="s">
        <v>474</v>
      </c>
      <c r="C190" s="130" t="s">
        <v>865</v>
      </c>
      <c r="D190" s="131"/>
      <c r="E190" s="131"/>
      <c r="F190" s="131"/>
      <c r="G190" s="14" t="s">
        <v>1170</v>
      </c>
      <c r="H190" s="24">
        <v>2</v>
      </c>
      <c r="I190" s="24">
        <v>0</v>
      </c>
      <c r="J190" s="24">
        <f t="shared" si="186"/>
        <v>0</v>
      </c>
      <c r="K190" s="24">
        <f t="shared" si="187"/>
        <v>0</v>
      </c>
      <c r="L190" s="24">
        <f t="shared" si="188"/>
        <v>0</v>
      </c>
      <c r="M190" s="24">
        <v>0</v>
      </c>
      <c r="N190" s="46">
        <f>H190*190</f>
        <v>380</v>
      </c>
      <c r="O190" s="5"/>
      <c r="Z190" s="37">
        <f t="shared" si="189"/>
        <v>0</v>
      </c>
      <c r="AB190" s="37">
        <f t="shared" si="190"/>
        <v>0</v>
      </c>
      <c r="AC190" s="37">
        <f t="shared" si="191"/>
        <v>0</v>
      </c>
      <c r="AD190" s="37">
        <f t="shared" si="192"/>
        <v>0</v>
      </c>
      <c r="AE190" s="37">
        <f t="shared" si="193"/>
        <v>0</v>
      </c>
      <c r="AF190" s="37">
        <f t="shared" si="194"/>
        <v>0</v>
      </c>
      <c r="AG190" s="37">
        <f t="shared" si="195"/>
        <v>0</v>
      </c>
      <c r="AH190" s="37">
        <f t="shared" si="196"/>
        <v>0</v>
      </c>
      <c r="AI190" s="35"/>
      <c r="AJ190" s="24">
        <f t="shared" si="197"/>
        <v>0</v>
      </c>
      <c r="AK190" s="24">
        <f t="shared" si="198"/>
        <v>0</v>
      </c>
      <c r="AL190" s="24">
        <f t="shared" si="199"/>
        <v>0</v>
      </c>
      <c r="AN190" s="37">
        <v>21</v>
      </c>
      <c r="AO190" s="37">
        <f t="shared" si="200"/>
        <v>0</v>
      </c>
      <c r="AP190" s="37">
        <f t="shared" si="201"/>
        <v>0</v>
      </c>
      <c r="AQ190" s="38" t="s">
        <v>13</v>
      </c>
      <c r="AV190" s="37">
        <f t="shared" si="202"/>
        <v>0</v>
      </c>
      <c r="AW190" s="37">
        <f t="shared" si="203"/>
        <v>0</v>
      </c>
      <c r="AX190" s="37">
        <f t="shared" si="204"/>
        <v>0</v>
      </c>
      <c r="AY190" s="40" t="s">
        <v>1213</v>
      </c>
      <c r="AZ190" s="40" t="s">
        <v>1256</v>
      </c>
      <c r="BA190" s="35" t="s">
        <v>1262</v>
      </c>
      <c r="BC190" s="37">
        <f t="shared" si="205"/>
        <v>0</v>
      </c>
      <c r="BD190" s="37">
        <f t="shared" si="206"/>
        <v>0</v>
      </c>
      <c r="BE190" s="37">
        <v>0</v>
      </c>
      <c r="BF190" s="37">
        <f t="shared" si="207"/>
        <v>380</v>
      </c>
      <c r="BH190" s="24">
        <f t="shared" si="208"/>
        <v>0</v>
      </c>
      <c r="BI190" s="24">
        <f t="shared" si="209"/>
        <v>0</v>
      </c>
      <c r="BJ190" s="24">
        <f t="shared" si="210"/>
        <v>0</v>
      </c>
      <c r="BK190" s="24" t="s">
        <v>1267</v>
      </c>
      <c r="BL190" s="37">
        <v>732</v>
      </c>
    </row>
    <row r="191" spans="1:64" x14ac:dyDescent="0.25">
      <c r="A191" s="4" t="s">
        <v>137</v>
      </c>
      <c r="B191" s="14" t="s">
        <v>475</v>
      </c>
      <c r="C191" s="130" t="s">
        <v>866</v>
      </c>
      <c r="D191" s="131"/>
      <c r="E191" s="131"/>
      <c r="F191" s="131"/>
      <c r="G191" s="14" t="s">
        <v>1165</v>
      </c>
      <c r="H191" s="24">
        <v>6</v>
      </c>
      <c r="I191" s="24">
        <v>0</v>
      </c>
      <c r="J191" s="24">
        <f t="shared" si="186"/>
        <v>0</v>
      </c>
      <c r="K191" s="24">
        <f t="shared" si="187"/>
        <v>0</v>
      </c>
      <c r="L191" s="24">
        <f t="shared" si="188"/>
        <v>0</v>
      </c>
      <c r="M191" s="24">
        <v>0</v>
      </c>
      <c r="N191" s="46">
        <f>H191*191</f>
        <v>1146</v>
      </c>
      <c r="O191" s="5"/>
      <c r="Z191" s="37">
        <f t="shared" si="189"/>
        <v>0</v>
      </c>
      <c r="AB191" s="37">
        <f t="shared" si="190"/>
        <v>0</v>
      </c>
      <c r="AC191" s="37">
        <f t="shared" si="191"/>
        <v>0</v>
      </c>
      <c r="AD191" s="37">
        <f t="shared" si="192"/>
        <v>0</v>
      </c>
      <c r="AE191" s="37">
        <f t="shared" si="193"/>
        <v>0</v>
      </c>
      <c r="AF191" s="37">
        <f t="shared" si="194"/>
        <v>0</v>
      </c>
      <c r="AG191" s="37">
        <f t="shared" si="195"/>
        <v>0</v>
      </c>
      <c r="AH191" s="37">
        <f t="shared" si="196"/>
        <v>0</v>
      </c>
      <c r="AI191" s="35"/>
      <c r="AJ191" s="24">
        <f t="shared" si="197"/>
        <v>0</v>
      </c>
      <c r="AK191" s="24">
        <f t="shared" si="198"/>
        <v>0</v>
      </c>
      <c r="AL191" s="24">
        <f t="shared" si="199"/>
        <v>0</v>
      </c>
      <c r="AN191" s="37">
        <v>21</v>
      </c>
      <c r="AO191" s="37">
        <f t="shared" si="200"/>
        <v>0</v>
      </c>
      <c r="AP191" s="37">
        <f t="shared" si="201"/>
        <v>0</v>
      </c>
      <c r="AQ191" s="38" t="s">
        <v>13</v>
      </c>
      <c r="AV191" s="37">
        <f t="shared" si="202"/>
        <v>0</v>
      </c>
      <c r="AW191" s="37">
        <f t="shared" si="203"/>
        <v>0</v>
      </c>
      <c r="AX191" s="37">
        <f t="shared" si="204"/>
        <v>0</v>
      </c>
      <c r="AY191" s="40" t="s">
        <v>1213</v>
      </c>
      <c r="AZ191" s="40" t="s">
        <v>1256</v>
      </c>
      <c r="BA191" s="35" t="s">
        <v>1262</v>
      </c>
      <c r="BC191" s="37">
        <f t="shared" si="205"/>
        <v>0</v>
      </c>
      <c r="BD191" s="37">
        <f t="shared" si="206"/>
        <v>0</v>
      </c>
      <c r="BE191" s="37">
        <v>0</v>
      </c>
      <c r="BF191" s="37">
        <f t="shared" si="207"/>
        <v>1146</v>
      </c>
      <c r="BH191" s="24">
        <f t="shared" si="208"/>
        <v>0</v>
      </c>
      <c r="BI191" s="24">
        <f t="shared" si="209"/>
        <v>0</v>
      </c>
      <c r="BJ191" s="24">
        <f t="shared" si="210"/>
        <v>0</v>
      </c>
      <c r="BK191" s="24" t="s">
        <v>1267</v>
      </c>
      <c r="BL191" s="37">
        <v>732</v>
      </c>
    </row>
    <row r="192" spans="1:64" x14ac:dyDescent="0.25">
      <c r="A192" s="4" t="s">
        <v>138</v>
      </c>
      <c r="B192" s="14" t="s">
        <v>476</v>
      </c>
      <c r="C192" s="130" t="s">
        <v>867</v>
      </c>
      <c r="D192" s="131"/>
      <c r="E192" s="131"/>
      <c r="F192" s="131"/>
      <c r="G192" s="14" t="s">
        <v>1170</v>
      </c>
      <c r="H192" s="24">
        <v>1</v>
      </c>
      <c r="I192" s="24">
        <v>0</v>
      </c>
      <c r="J192" s="24">
        <f t="shared" si="186"/>
        <v>0</v>
      </c>
      <c r="K192" s="24">
        <f t="shared" si="187"/>
        <v>0</v>
      </c>
      <c r="L192" s="24">
        <f t="shared" si="188"/>
        <v>0</v>
      </c>
      <c r="M192" s="24">
        <v>1.0000000000000001E-5</v>
      </c>
      <c r="N192" s="46">
        <f>H192*192</f>
        <v>192</v>
      </c>
      <c r="O192" s="5"/>
      <c r="Z192" s="37">
        <f t="shared" si="189"/>
        <v>0</v>
      </c>
      <c r="AB192" s="37">
        <f t="shared" si="190"/>
        <v>0</v>
      </c>
      <c r="AC192" s="37">
        <f t="shared" si="191"/>
        <v>0</v>
      </c>
      <c r="AD192" s="37">
        <f t="shared" si="192"/>
        <v>0</v>
      </c>
      <c r="AE192" s="37">
        <f t="shared" si="193"/>
        <v>0</v>
      </c>
      <c r="AF192" s="37">
        <f t="shared" si="194"/>
        <v>0</v>
      </c>
      <c r="AG192" s="37">
        <f t="shared" si="195"/>
        <v>0</v>
      </c>
      <c r="AH192" s="37">
        <f t="shared" si="196"/>
        <v>0</v>
      </c>
      <c r="AI192" s="35"/>
      <c r="AJ192" s="24">
        <f t="shared" si="197"/>
        <v>0</v>
      </c>
      <c r="AK192" s="24">
        <f t="shared" si="198"/>
        <v>0</v>
      </c>
      <c r="AL192" s="24">
        <f t="shared" si="199"/>
        <v>0</v>
      </c>
      <c r="AN192" s="37">
        <v>21</v>
      </c>
      <c r="AO192" s="37">
        <f t="shared" si="200"/>
        <v>0</v>
      </c>
      <c r="AP192" s="37">
        <f t="shared" si="201"/>
        <v>0</v>
      </c>
      <c r="AQ192" s="38" t="s">
        <v>13</v>
      </c>
      <c r="AV192" s="37">
        <f t="shared" si="202"/>
        <v>0</v>
      </c>
      <c r="AW192" s="37">
        <f t="shared" si="203"/>
        <v>0</v>
      </c>
      <c r="AX192" s="37">
        <f t="shared" si="204"/>
        <v>0</v>
      </c>
      <c r="AY192" s="40" t="s">
        <v>1213</v>
      </c>
      <c r="AZ192" s="40" t="s">
        <v>1256</v>
      </c>
      <c r="BA192" s="35" t="s">
        <v>1262</v>
      </c>
      <c r="BC192" s="37">
        <f t="shared" si="205"/>
        <v>0</v>
      </c>
      <c r="BD192" s="37">
        <f t="shared" si="206"/>
        <v>0</v>
      </c>
      <c r="BE192" s="37">
        <v>0</v>
      </c>
      <c r="BF192" s="37">
        <f t="shared" si="207"/>
        <v>192</v>
      </c>
      <c r="BH192" s="24">
        <f t="shared" si="208"/>
        <v>0</v>
      </c>
      <c r="BI192" s="24">
        <f t="shared" si="209"/>
        <v>0</v>
      </c>
      <c r="BJ192" s="24">
        <f t="shared" si="210"/>
        <v>0</v>
      </c>
      <c r="BK192" s="24" t="s">
        <v>1267</v>
      </c>
      <c r="BL192" s="37">
        <v>732</v>
      </c>
    </row>
    <row r="193" spans="1:64" x14ac:dyDescent="0.25">
      <c r="A193" s="4" t="s">
        <v>139</v>
      </c>
      <c r="B193" s="14" t="s">
        <v>477</v>
      </c>
      <c r="C193" s="130" t="s">
        <v>868</v>
      </c>
      <c r="D193" s="131"/>
      <c r="E193" s="131"/>
      <c r="F193" s="131"/>
      <c r="G193" s="14" t="s">
        <v>1170</v>
      </c>
      <c r="H193" s="24">
        <v>1</v>
      </c>
      <c r="I193" s="24">
        <v>0</v>
      </c>
      <c r="J193" s="24">
        <f t="shared" si="186"/>
        <v>0</v>
      </c>
      <c r="K193" s="24">
        <f t="shared" si="187"/>
        <v>0</v>
      </c>
      <c r="L193" s="24">
        <f t="shared" si="188"/>
        <v>0</v>
      </c>
      <c r="M193" s="24">
        <v>6.9999999999999994E-5</v>
      </c>
      <c r="N193" s="46">
        <f>H193*193</f>
        <v>193</v>
      </c>
      <c r="O193" s="5"/>
      <c r="Z193" s="37">
        <f t="shared" si="189"/>
        <v>0</v>
      </c>
      <c r="AB193" s="37">
        <f t="shared" si="190"/>
        <v>0</v>
      </c>
      <c r="AC193" s="37">
        <f t="shared" si="191"/>
        <v>0</v>
      </c>
      <c r="AD193" s="37">
        <f t="shared" si="192"/>
        <v>0</v>
      </c>
      <c r="AE193" s="37">
        <f t="shared" si="193"/>
        <v>0</v>
      </c>
      <c r="AF193" s="37">
        <f t="shared" si="194"/>
        <v>0</v>
      </c>
      <c r="AG193" s="37">
        <f t="shared" si="195"/>
        <v>0</v>
      </c>
      <c r="AH193" s="37">
        <f t="shared" si="196"/>
        <v>0</v>
      </c>
      <c r="AI193" s="35"/>
      <c r="AJ193" s="24">
        <f t="shared" si="197"/>
        <v>0</v>
      </c>
      <c r="AK193" s="24">
        <f t="shared" si="198"/>
        <v>0</v>
      </c>
      <c r="AL193" s="24">
        <f t="shared" si="199"/>
        <v>0</v>
      </c>
      <c r="AN193" s="37">
        <v>21</v>
      </c>
      <c r="AO193" s="37">
        <f t="shared" si="200"/>
        <v>0</v>
      </c>
      <c r="AP193" s="37">
        <f t="shared" si="201"/>
        <v>0</v>
      </c>
      <c r="AQ193" s="38" t="s">
        <v>13</v>
      </c>
      <c r="AV193" s="37">
        <f t="shared" si="202"/>
        <v>0</v>
      </c>
      <c r="AW193" s="37">
        <f t="shared" si="203"/>
        <v>0</v>
      </c>
      <c r="AX193" s="37">
        <f t="shared" si="204"/>
        <v>0</v>
      </c>
      <c r="AY193" s="40" t="s">
        <v>1213</v>
      </c>
      <c r="AZ193" s="40" t="s">
        <v>1256</v>
      </c>
      <c r="BA193" s="35" t="s">
        <v>1262</v>
      </c>
      <c r="BC193" s="37">
        <f t="shared" si="205"/>
        <v>0</v>
      </c>
      <c r="BD193" s="37">
        <f t="shared" si="206"/>
        <v>0</v>
      </c>
      <c r="BE193" s="37">
        <v>0</v>
      </c>
      <c r="BF193" s="37">
        <f t="shared" si="207"/>
        <v>193</v>
      </c>
      <c r="BH193" s="24">
        <f t="shared" si="208"/>
        <v>0</v>
      </c>
      <c r="BI193" s="24">
        <f t="shared" si="209"/>
        <v>0</v>
      </c>
      <c r="BJ193" s="24">
        <f t="shared" si="210"/>
        <v>0</v>
      </c>
      <c r="BK193" s="24" t="s">
        <v>1267</v>
      </c>
      <c r="BL193" s="37">
        <v>732</v>
      </c>
    </row>
    <row r="194" spans="1:64" x14ac:dyDescent="0.25">
      <c r="A194" s="4" t="s">
        <v>140</v>
      </c>
      <c r="B194" s="14" t="s">
        <v>478</v>
      </c>
      <c r="C194" s="130" t="s">
        <v>869</v>
      </c>
      <c r="D194" s="131"/>
      <c r="E194" s="131"/>
      <c r="F194" s="131"/>
      <c r="G194" s="14" t="s">
        <v>1170</v>
      </c>
      <c r="H194" s="24">
        <v>1</v>
      </c>
      <c r="I194" s="24">
        <v>0</v>
      </c>
      <c r="J194" s="24">
        <f t="shared" si="186"/>
        <v>0</v>
      </c>
      <c r="K194" s="24">
        <f t="shared" si="187"/>
        <v>0</v>
      </c>
      <c r="L194" s="24">
        <f t="shared" si="188"/>
        <v>0</v>
      </c>
      <c r="M194" s="24">
        <v>0</v>
      </c>
      <c r="N194" s="46">
        <f>H194*194</f>
        <v>194</v>
      </c>
      <c r="O194" s="5"/>
      <c r="Z194" s="37">
        <f t="shared" si="189"/>
        <v>0</v>
      </c>
      <c r="AB194" s="37">
        <f t="shared" si="190"/>
        <v>0</v>
      </c>
      <c r="AC194" s="37">
        <f t="shared" si="191"/>
        <v>0</v>
      </c>
      <c r="AD194" s="37">
        <f t="shared" si="192"/>
        <v>0</v>
      </c>
      <c r="AE194" s="37">
        <f t="shared" si="193"/>
        <v>0</v>
      </c>
      <c r="AF194" s="37">
        <f t="shared" si="194"/>
        <v>0</v>
      </c>
      <c r="AG194" s="37">
        <f t="shared" si="195"/>
        <v>0</v>
      </c>
      <c r="AH194" s="37">
        <f t="shared" si="196"/>
        <v>0</v>
      </c>
      <c r="AI194" s="35"/>
      <c r="AJ194" s="24">
        <f t="shared" si="197"/>
        <v>0</v>
      </c>
      <c r="AK194" s="24">
        <f t="shared" si="198"/>
        <v>0</v>
      </c>
      <c r="AL194" s="24">
        <f t="shared" si="199"/>
        <v>0</v>
      </c>
      <c r="AN194" s="37">
        <v>21</v>
      </c>
      <c r="AO194" s="37">
        <f t="shared" si="200"/>
        <v>0</v>
      </c>
      <c r="AP194" s="37">
        <f t="shared" si="201"/>
        <v>0</v>
      </c>
      <c r="AQ194" s="38" t="s">
        <v>13</v>
      </c>
      <c r="AV194" s="37">
        <f t="shared" si="202"/>
        <v>0</v>
      </c>
      <c r="AW194" s="37">
        <f t="shared" si="203"/>
        <v>0</v>
      </c>
      <c r="AX194" s="37">
        <f t="shared" si="204"/>
        <v>0</v>
      </c>
      <c r="AY194" s="40" t="s">
        <v>1213</v>
      </c>
      <c r="AZ194" s="40" t="s">
        <v>1256</v>
      </c>
      <c r="BA194" s="35" t="s">
        <v>1262</v>
      </c>
      <c r="BC194" s="37">
        <f t="shared" si="205"/>
        <v>0</v>
      </c>
      <c r="BD194" s="37">
        <f t="shared" si="206"/>
        <v>0</v>
      </c>
      <c r="BE194" s="37">
        <v>0</v>
      </c>
      <c r="BF194" s="37">
        <f t="shared" si="207"/>
        <v>194</v>
      </c>
      <c r="BH194" s="24">
        <f t="shared" si="208"/>
        <v>0</v>
      </c>
      <c r="BI194" s="24">
        <f t="shared" si="209"/>
        <v>0</v>
      </c>
      <c r="BJ194" s="24">
        <f t="shared" si="210"/>
        <v>0</v>
      </c>
      <c r="BK194" s="24" t="s">
        <v>1267</v>
      </c>
      <c r="BL194" s="37">
        <v>732</v>
      </c>
    </row>
    <row r="195" spans="1:64" x14ac:dyDescent="0.25">
      <c r="A195" s="4" t="s">
        <v>141</v>
      </c>
      <c r="B195" s="14" t="s">
        <v>479</v>
      </c>
      <c r="C195" s="130" t="s">
        <v>870</v>
      </c>
      <c r="D195" s="131"/>
      <c r="E195" s="131"/>
      <c r="F195" s="131"/>
      <c r="G195" s="14" t="s">
        <v>1170</v>
      </c>
      <c r="H195" s="24">
        <v>1</v>
      </c>
      <c r="I195" s="24">
        <v>0</v>
      </c>
      <c r="J195" s="24">
        <f t="shared" si="186"/>
        <v>0</v>
      </c>
      <c r="K195" s="24">
        <f t="shared" si="187"/>
        <v>0</v>
      </c>
      <c r="L195" s="24">
        <f t="shared" si="188"/>
        <v>0</v>
      </c>
      <c r="M195" s="24">
        <v>7.417E-2</v>
      </c>
      <c r="N195" s="46">
        <f>H195*195</f>
        <v>195</v>
      </c>
      <c r="O195" s="5"/>
      <c r="Z195" s="37">
        <f t="shared" si="189"/>
        <v>0</v>
      </c>
      <c r="AB195" s="37">
        <f t="shared" si="190"/>
        <v>0</v>
      </c>
      <c r="AC195" s="37">
        <f t="shared" si="191"/>
        <v>0</v>
      </c>
      <c r="AD195" s="37">
        <f t="shared" si="192"/>
        <v>0</v>
      </c>
      <c r="AE195" s="37">
        <f t="shared" si="193"/>
        <v>0</v>
      </c>
      <c r="AF195" s="37">
        <f t="shared" si="194"/>
        <v>0</v>
      </c>
      <c r="AG195" s="37">
        <f t="shared" si="195"/>
        <v>0</v>
      </c>
      <c r="AH195" s="37">
        <f t="shared" si="196"/>
        <v>0</v>
      </c>
      <c r="AI195" s="35"/>
      <c r="AJ195" s="24">
        <f t="shared" si="197"/>
        <v>0</v>
      </c>
      <c r="AK195" s="24">
        <f t="shared" si="198"/>
        <v>0</v>
      </c>
      <c r="AL195" s="24">
        <f t="shared" si="199"/>
        <v>0</v>
      </c>
      <c r="AN195" s="37">
        <v>21</v>
      </c>
      <c r="AO195" s="37">
        <f>I195*0.90953105547102</f>
        <v>0</v>
      </c>
      <c r="AP195" s="37">
        <f>I195*(1-0.90953105547102)</f>
        <v>0</v>
      </c>
      <c r="AQ195" s="38" t="s">
        <v>13</v>
      </c>
      <c r="AV195" s="37">
        <f t="shared" si="202"/>
        <v>0</v>
      </c>
      <c r="AW195" s="37">
        <f t="shared" si="203"/>
        <v>0</v>
      </c>
      <c r="AX195" s="37">
        <f t="shared" si="204"/>
        <v>0</v>
      </c>
      <c r="AY195" s="40" t="s">
        <v>1213</v>
      </c>
      <c r="AZ195" s="40" t="s">
        <v>1256</v>
      </c>
      <c r="BA195" s="35" t="s">
        <v>1262</v>
      </c>
      <c r="BC195" s="37">
        <f t="shared" si="205"/>
        <v>0</v>
      </c>
      <c r="BD195" s="37">
        <f t="shared" si="206"/>
        <v>0</v>
      </c>
      <c r="BE195" s="37">
        <v>0</v>
      </c>
      <c r="BF195" s="37">
        <f t="shared" si="207"/>
        <v>195</v>
      </c>
      <c r="BH195" s="24">
        <f t="shared" si="208"/>
        <v>0</v>
      </c>
      <c r="BI195" s="24">
        <f t="shared" si="209"/>
        <v>0</v>
      </c>
      <c r="BJ195" s="24">
        <f t="shared" si="210"/>
        <v>0</v>
      </c>
      <c r="BK195" s="24" t="s">
        <v>1267</v>
      </c>
      <c r="BL195" s="37">
        <v>732</v>
      </c>
    </row>
    <row r="196" spans="1:64" x14ac:dyDescent="0.25">
      <c r="A196" s="5"/>
      <c r="C196" s="18" t="s">
        <v>7</v>
      </c>
      <c r="F196" s="20" t="s">
        <v>1142</v>
      </c>
      <c r="H196" s="25">
        <v>1</v>
      </c>
      <c r="N196" s="36"/>
      <c r="O196" s="5"/>
    </row>
    <row r="197" spans="1:64" x14ac:dyDescent="0.25">
      <c r="A197" s="4" t="s">
        <v>142</v>
      </c>
      <c r="B197" s="14" t="s">
        <v>480</v>
      </c>
      <c r="C197" s="130" t="s">
        <v>871</v>
      </c>
      <c r="D197" s="131"/>
      <c r="E197" s="131"/>
      <c r="F197" s="131"/>
      <c r="G197" s="14" t="s">
        <v>1170</v>
      </c>
      <c r="H197" s="24">
        <v>1</v>
      </c>
      <c r="I197" s="24">
        <v>0</v>
      </c>
      <c r="J197" s="24">
        <f>H197*AO197</f>
        <v>0</v>
      </c>
      <c r="K197" s="24">
        <f>H197*AP197</f>
        <v>0</v>
      </c>
      <c r="L197" s="24">
        <f>H197*I197</f>
        <v>0</v>
      </c>
      <c r="M197" s="24">
        <v>0.06</v>
      </c>
      <c r="N197" s="46">
        <f>H197*197</f>
        <v>197</v>
      </c>
      <c r="O197" s="5"/>
      <c r="Z197" s="37">
        <f>IF(AQ197="5",BJ197,0)</f>
        <v>0</v>
      </c>
      <c r="AB197" s="37">
        <f>IF(AQ197="1",BH197,0)</f>
        <v>0</v>
      </c>
      <c r="AC197" s="37">
        <f>IF(AQ197="1",BI197,0)</f>
        <v>0</v>
      </c>
      <c r="AD197" s="37">
        <f>IF(AQ197="7",BH197,0)</f>
        <v>0</v>
      </c>
      <c r="AE197" s="37">
        <f>IF(AQ197="7",BI197,0)</f>
        <v>0</v>
      </c>
      <c r="AF197" s="37">
        <f>IF(AQ197="2",BH197,0)</f>
        <v>0</v>
      </c>
      <c r="AG197" s="37">
        <f>IF(AQ197="2",BI197,0)</f>
        <v>0</v>
      </c>
      <c r="AH197" s="37">
        <f>IF(AQ197="0",BJ197,0)</f>
        <v>0</v>
      </c>
      <c r="AI197" s="35"/>
      <c r="AJ197" s="24">
        <f>IF(AN197=0,L197,0)</f>
        <v>0</v>
      </c>
      <c r="AK197" s="24">
        <f>IF(AN197=15,L197,0)</f>
        <v>0</v>
      </c>
      <c r="AL197" s="24">
        <f>IF(AN197=21,L197,0)</f>
        <v>0</v>
      </c>
      <c r="AN197" s="37">
        <v>21</v>
      </c>
      <c r="AO197" s="37">
        <f>I197*0.881210217409275</f>
        <v>0</v>
      </c>
      <c r="AP197" s="37">
        <f>I197*(1-0.881210217409275)</f>
        <v>0</v>
      </c>
      <c r="AQ197" s="38" t="s">
        <v>13</v>
      </c>
      <c r="AV197" s="37">
        <f>AW197+AX197</f>
        <v>0</v>
      </c>
      <c r="AW197" s="37">
        <f>H197*AO197</f>
        <v>0</v>
      </c>
      <c r="AX197" s="37">
        <f>H197*AP197</f>
        <v>0</v>
      </c>
      <c r="AY197" s="40" t="s">
        <v>1213</v>
      </c>
      <c r="AZ197" s="40" t="s">
        <v>1256</v>
      </c>
      <c r="BA197" s="35" t="s">
        <v>1262</v>
      </c>
      <c r="BC197" s="37">
        <f>AW197+AX197</f>
        <v>0</v>
      </c>
      <c r="BD197" s="37">
        <f>I197/(100-BE197)*100</f>
        <v>0</v>
      </c>
      <c r="BE197" s="37">
        <v>0</v>
      </c>
      <c r="BF197" s="37">
        <f>N197</f>
        <v>197</v>
      </c>
      <c r="BH197" s="24">
        <f>H197*AO197</f>
        <v>0</v>
      </c>
      <c r="BI197" s="24">
        <f>H197*AP197</f>
        <v>0</v>
      </c>
      <c r="BJ197" s="24">
        <f>H197*I197</f>
        <v>0</v>
      </c>
      <c r="BK197" s="24" t="s">
        <v>1267</v>
      </c>
      <c r="BL197" s="37">
        <v>732</v>
      </c>
    </row>
    <row r="198" spans="1:64" x14ac:dyDescent="0.25">
      <c r="A198" s="5"/>
      <c r="C198" s="18" t="s">
        <v>7</v>
      </c>
      <c r="F198" s="20" t="s">
        <v>1143</v>
      </c>
      <c r="H198" s="25">
        <v>1</v>
      </c>
      <c r="N198" s="36"/>
      <c r="O198" s="5"/>
    </row>
    <row r="199" spans="1:64" x14ac:dyDescent="0.25">
      <c r="A199" s="4" t="s">
        <v>143</v>
      </c>
      <c r="B199" s="14" t="s">
        <v>481</v>
      </c>
      <c r="C199" s="130" t="s">
        <v>872</v>
      </c>
      <c r="D199" s="131"/>
      <c r="E199" s="131"/>
      <c r="F199" s="131"/>
      <c r="G199" s="14" t="s">
        <v>1170</v>
      </c>
      <c r="H199" s="24">
        <v>2</v>
      </c>
      <c r="I199" s="24">
        <v>0</v>
      </c>
      <c r="J199" s="24">
        <f t="shared" ref="J199:J205" si="211">H199*AO199</f>
        <v>0</v>
      </c>
      <c r="K199" s="24">
        <f t="shared" ref="K199:K205" si="212">H199*AP199</f>
        <v>0</v>
      </c>
      <c r="L199" s="24">
        <f t="shared" ref="L199:L205" si="213">H199*I199</f>
        <v>0</v>
      </c>
      <c r="M199" s="24">
        <v>4.7600000000000003E-2</v>
      </c>
      <c r="N199" s="46">
        <f>H199*199</f>
        <v>398</v>
      </c>
      <c r="O199" s="5"/>
      <c r="Z199" s="37">
        <f t="shared" ref="Z199:Z205" si="214">IF(AQ199="5",BJ199,0)</f>
        <v>0</v>
      </c>
      <c r="AB199" s="37">
        <f t="shared" ref="AB199:AB205" si="215">IF(AQ199="1",BH199,0)</f>
        <v>0</v>
      </c>
      <c r="AC199" s="37">
        <f t="shared" ref="AC199:AC205" si="216">IF(AQ199="1",BI199,0)</f>
        <v>0</v>
      </c>
      <c r="AD199" s="37">
        <f t="shared" ref="AD199:AD205" si="217">IF(AQ199="7",BH199,0)</f>
        <v>0</v>
      </c>
      <c r="AE199" s="37">
        <f t="shared" ref="AE199:AE205" si="218">IF(AQ199="7",BI199,0)</f>
        <v>0</v>
      </c>
      <c r="AF199" s="37">
        <f t="shared" ref="AF199:AF205" si="219">IF(AQ199="2",BH199,0)</f>
        <v>0</v>
      </c>
      <c r="AG199" s="37">
        <f t="shared" ref="AG199:AG205" si="220">IF(AQ199="2",BI199,0)</f>
        <v>0</v>
      </c>
      <c r="AH199" s="37">
        <f t="shared" ref="AH199:AH205" si="221">IF(AQ199="0",BJ199,0)</f>
        <v>0</v>
      </c>
      <c r="AI199" s="35"/>
      <c r="AJ199" s="24">
        <f t="shared" ref="AJ199:AJ205" si="222">IF(AN199=0,L199,0)</f>
        <v>0</v>
      </c>
      <c r="AK199" s="24">
        <f t="shared" ref="AK199:AK205" si="223">IF(AN199=15,L199,0)</f>
        <v>0</v>
      </c>
      <c r="AL199" s="24">
        <f t="shared" ref="AL199:AL205" si="224">IF(AN199=21,L199,0)</f>
        <v>0</v>
      </c>
      <c r="AN199" s="37">
        <v>21</v>
      </c>
      <c r="AO199" s="37">
        <f>I199*0.917277693026918</f>
        <v>0</v>
      </c>
      <c r="AP199" s="37">
        <f>I199*(1-0.917277693026918)</f>
        <v>0</v>
      </c>
      <c r="AQ199" s="38" t="s">
        <v>13</v>
      </c>
      <c r="AV199" s="37">
        <f t="shared" ref="AV199:AV205" si="225">AW199+AX199</f>
        <v>0</v>
      </c>
      <c r="AW199" s="37">
        <f t="shared" ref="AW199:AW205" si="226">H199*AO199</f>
        <v>0</v>
      </c>
      <c r="AX199" s="37">
        <f t="shared" ref="AX199:AX205" si="227">H199*AP199</f>
        <v>0</v>
      </c>
      <c r="AY199" s="40" t="s">
        <v>1213</v>
      </c>
      <c r="AZ199" s="40" t="s">
        <v>1256</v>
      </c>
      <c r="BA199" s="35" t="s">
        <v>1262</v>
      </c>
      <c r="BC199" s="37">
        <f t="shared" ref="BC199:BC205" si="228">AW199+AX199</f>
        <v>0</v>
      </c>
      <c r="BD199" s="37">
        <f t="shared" ref="BD199:BD205" si="229">I199/(100-BE199)*100</f>
        <v>0</v>
      </c>
      <c r="BE199" s="37">
        <v>0</v>
      </c>
      <c r="BF199" s="37">
        <f t="shared" ref="BF199:BF205" si="230">N199</f>
        <v>398</v>
      </c>
      <c r="BH199" s="24">
        <f t="shared" ref="BH199:BH205" si="231">H199*AO199</f>
        <v>0</v>
      </c>
      <c r="BI199" s="24">
        <f t="shared" ref="BI199:BI205" si="232">H199*AP199</f>
        <v>0</v>
      </c>
      <c r="BJ199" s="24">
        <f t="shared" ref="BJ199:BJ205" si="233">H199*I199</f>
        <v>0</v>
      </c>
      <c r="BK199" s="24" t="s">
        <v>1267</v>
      </c>
      <c r="BL199" s="37">
        <v>732</v>
      </c>
    </row>
    <row r="200" spans="1:64" x14ac:dyDescent="0.25">
      <c r="A200" s="4" t="s">
        <v>144</v>
      </c>
      <c r="B200" s="14" t="s">
        <v>482</v>
      </c>
      <c r="C200" s="130" t="s">
        <v>873</v>
      </c>
      <c r="D200" s="131"/>
      <c r="E200" s="131"/>
      <c r="F200" s="131"/>
      <c r="G200" s="14" t="s">
        <v>1170</v>
      </c>
      <c r="H200" s="24">
        <v>2</v>
      </c>
      <c r="I200" s="24">
        <v>0</v>
      </c>
      <c r="J200" s="24">
        <f t="shared" si="211"/>
        <v>0</v>
      </c>
      <c r="K200" s="24">
        <f t="shared" si="212"/>
        <v>0</v>
      </c>
      <c r="L200" s="24">
        <f t="shared" si="213"/>
        <v>0</v>
      </c>
      <c r="M200" s="24">
        <v>5.2999999999999998E-4</v>
      </c>
      <c r="N200" s="46">
        <f>H200*200</f>
        <v>400</v>
      </c>
      <c r="O200" s="5"/>
      <c r="Z200" s="37">
        <f t="shared" si="214"/>
        <v>0</v>
      </c>
      <c r="AB200" s="37">
        <f t="shared" si="215"/>
        <v>0</v>
      </c>
      <c r="AC200" s="37">
        <f t="shared" si="216"/>
        <v>0</v>
      </c>
      <c r="AD200" s="37">
        <f t="shared" si="217"/>
        <v>0</v>
      </c>
      <c r="AE200" s="37">
        <f t="shared" si="218"/>
        <v>0</v>
      </c>
      <c r="AF200" s="37">
        <f t="shared" si="219"/>
        <v>0</v>
      </c>
      <c r="AG200" s="37">
        <f t="shared" si="220"/>
        <v>0</v>
      </c>
      <c r="AH200" s="37">
        <f t="shared" si="221"/>
        <v>0</v>
      </c>
      <c r="AI200" s="35"/>
      <c r="AJ200" s="24">
        <f t="shared" si="222"/>
        <v>0</v>
      </c>
      <c r="AK200" s="24">
        <f t="shared" si="223"/>
        <v>0</v>
      </c>
      <c r="AL200" s="24">
        <f t="shared" si="224"/>
        <v>0</v>
      </c>
      <c r="AN200" s="37">
        <v>21</v>
      </c>
      <c r="AO200" s="37">
        <f>I200*0.850139275766017</f>
        <v>0</v>
      </c>
      <c r="AP200" s="37">
        <f>I200*(1-0.850139275766017)</f>
        <v>0</v>
      </c>
      <c r="AQ200" s="38" t="s">
        <v>13</v>
      </c>
      <c r="AV200" s="37">
        <f t="shared" si="225"/>
        <v>0</v>
      </c>
      <c r="AW200" s="37">
        <f t="shared" si="226"/>
        <v>0</v>
      </c>
      <c r="AX200" s="37">
        <f t="shared" si="227"/>
        <v>0</v>
      </c>
      <c r="AY200" s="40" t="s">
        <v>1213</v>
      </c>
      <c r="AZ200" s="40" t="s">
        <v>1256</v>
      </c>
      <c r="BA200" s="35" t="s">
        <v>1262</v>
      </c>
      <c r="BC200" s="37">
        <f t="shared" si="228"/>
        <v>0</v>
      </c>
      <c r="BD200" s="37">
        <f t="shared" si="229"/>
        <v>0</v>
      </c>
      <c r="BE200" s="37">
        <v>0</v>
      </c>
      <c r="BF200" s="37">
        <f t="shared" si="230"/>
        <v>400</v>
      </c>
      <c r="BH200" s="24">
        <f t="shared" si="231"/>
        <v>0</v>
      </c>
      <c r="BI200" s="24">
        <f t="shared" si="232"/>
        <v>0</v>
      </c>
      <c r="BJ200" s="24">
        <f t="shared" si="233"/>
        <v>0</v>
      </c>
      <c r="BK200" s="24" t="s">
        <v>1267</v>
      </c>
      <c r="BL200" s="37">
        <v>732</v>
      </c>
    </row>
    <row r="201" spans="1:64" x14ac:dyDescent="0.25">
      <c r="A201" s="4" t="s">
        <v>145</v>
      </c>
      <c r="B201" s="14" t="s">
        <v>483</v>
      </c>
      <c r="C201" s="130" t="s">
        <v>874</v>
      </c>
      <c r="D201" s="131"/>
      <c r="E201" s="131"/>
      <c r="F201" s="131"/>
      <c r="G201" s="14" t="s">
        <v>1170</v>
      </c>
      <c r="H201" s="24">
        <v>2</v>
      </c>
      <c r="I201" s="24">
        <v>0</v>
      </c>
      <c r="J201" s="24">
        <f t="shared" si="211"/>
        <v>0</v>
      </c>
      <c r="K201" s="24">
        <f t="shared" si="212"/>
        <v>0</v>
      </c>
      <c r="L201" s="24">
        <f t="shared" si="213"/>
        <v>0</v>
      </c>
      <c r="M201" s="24">
        <v>0.01</v>
      </c>
      <c r="N201" s="46">
        <f>H201*201</f>
        <v>402</v>
      </c>
      <c r="O201" s="5"/>
      <c r="Z201" s="37">
        <f t="shared" si="214"/>
        <v>0</v>
      </c>
      <c r="AB201" s="37">
        <f t="shared" si="215"/>
        <v>0</v>
      </c>
      <c r="AC201" s="37">
        <f t="shared" si="216"/>
        <v>0</v>
      </c>
      <c r="AD201" s="37">
        <f t="shared" si="217"/>
        <v>0</v>
      </c>
      <c r="AE201" s="37">
        <f t="shared" si="218"/>
        <v>0</v>
      </c>
      <c r="AF201" s="37">
        <f t="shared" si="219"/>
        <v>0</v>
      </c>
      <c r="AG201" s="37">
        <f t="shared" si="220"/>
        <v>0</v>
      </c>
      <c r="AH201" s="37">
        <f t="shared" si="221"/>
        <v>0</v>
      </c>
      <c r="AI201" s="35"/>
      <c r="AJ201" s="24">
        <f t="shared" si="222"/>
        <v>0</v>
      </c>
      <c r="AK201" s="24">
        <f t="shared" si="223"/>
        <v>0</v>
      </c>
      <c r="AL201" s="24">
        <f t="shared" si="224"/>
        <v>0</v>
      </c>
      <c r="AN201" s="37">
        <v>21</v>
      </c>
      <c r="AO201" s="37">
        <f>I201*0.989040971306444</f>
        <v>0</v>
      </c>
      <c r="AP201" s="37">
        <f>I201*(1-0.989040971306444)</f>
        <v>0</v>
      </c>
      <c r="AQ201" s="38" t="s">
        <v>13</v>
      </c>
      <c r="AV201" s="37">
        <f t="shared" si="225"/>
        <v>0</v>
      </c>
      <c r="AW201" s="37">
        <f t="shared" si="226"/>
        <v>0</v>
      </c>
      <c r="AX201" s="37">
        <f t="shared" si="227"/>
        <v>0</v>
      </c>
      <c r="AY201" s="40" t="s">
        <v>1213</v>
      </c>
      <c r="AZ201" s="40" t="s">
        <v>1256</v>
      </c>
      <c r="BA201" s="35" t="s">
        <v>1262</v>
      </c>
      <c r="BC201" s="37">
        <f t="shared" si="228"/>
        <v>0</v>
      </c>
      <c r="BD201" s="37">
        <f t="shared" si="229"/>
        <v>0</v>
      </c>
      <c r="BE201" s="37">
        <v>0</v>
      </c>
      <c r="BF201" s="37">
        <f t="shared" si="230"/>
        <v>402</v>
      </c>
      <c r="BH201" s="24">
        <f t="shared" si="231"/>
        <v>0</v>
      </c>
      <c r="BI201" s="24">
        <f t="shared" si="232"/>
        <v>0</v>
      </c>
      <c r="BJ201" s="24">
        <f t="shared" si="233"/>
        <v>0</v>
      </c>
      <c r="BK201" s="24" t="s">
        <v>1267</v>
      </c>
      <c r="BL201" s="37">
        <v>732</v>
      </c>
    </row>
    <row r="202" spans="1:64" x14ac:dyDescent="0.25">
      <c r="A202" s="4" t="s">
        <v>146</v>
      </c>
      <c r="B202" s="14" t="s">
        <v>483</v>
      </c>
      <c r="C202" s="130" t="s">
        <v>875</v>
      </c>
      <c r="D202" s="131"/>
      <c r="E202" s="131"/>
      <c r="F202" s="131"/>
      <c r="G202" s="14" t="s">
        <v>1170</v>
      </c>
      <c r="H202" s="24">
        <v>2</v>
      </c>
      <c r="I202" s="24">
        <v>0</v>
      </c>
      <c r="J202" s="24">
        <f t="shared" si="211"/>
        <v>0</v>
      </c>
      <c r="K202" s="24">
        <f t="shared" si="212"/>
        <v>0</v>
      </c>
      <c r="L202" s="24">
        <f t="shared" si="213"/>
        <v>0</v>
      </c>
      <c r="M202" s="24">
        <v>0.01</v>
      </c>
      <c r="N202" s="46">
        <f>H202*202</f>
        <v>404</v>
      </c>
      <c r="O202" s="5"/>
      <c r="Z202" s="37">
        <f t="shared" si="214"/>
        <v>0</v>
      </c>
      <c r="AB202" s="37">
        <f t="shared" si="215"/>
        <v>0</v>
      </c>
      <c r="AC202" s="37">
        <f t="shared" si="216"/>
        <v>0</v>
      </c>
      <c r="AD202" s="37">
        <f t="shared" si="217"/>
        <v>0</v>
      </c>
      <c r="AE202" s="37">
        <f t="shared" si="218"/>
        <v>0</v>
      </c>
      <c r="AF202" s="37">
        <f t="shared" si="219"/>
        <v>0</v>
      </c>
      <c r="AG202" s="37">
        <f t="shared" si="220"/>
        <v>0</v>
      </c>
      <c r="AH202" s="37">
        <f t="shared" si="221"/>
        <v>0</v>
      </c>
      <c r="AI202" s="35"/>
      <c r="AJ202" s="24">
        <f t="shared" si="222"/>
        <v>0</v>
      </c>
      <c r="AK202" s="24">
        <f t="shared" si="223"/>
        <v>0</v>
      </c>
      <c r="AL202" s="24">
        <f t="shared" si="224"/>
        <v>0</v>
      </c>
      <c r="AN202" s="37">
        <v>21</v>
      </c>
      <c r="AO202" s="37">
        <f>I202*0.989040971306444</f>
        <v>0</v>
      </c>
      <c r="AP202" s="37">
        <f>I202*(1-0.989040971306444)</f>
        <v>0</v>
      </c>
      <c r="AQ202" s="38" t="s">
        <v>13</v>
      </c>
      <c r="AV202" s="37">
        <f t="shared" si="225"/>
        <v>0</v>
      </c>
      <c r="AW202" s="37">
        <f t="shared" si="226"/>
        <v>0</v>
      </c>
      <c r="AX202" s="37">
        <f t="shared" si="227"/>
        <v>0</v>
      </c>
      <c r="AY202" s="40" t="s">
        <v>1213</v>
      </c>
      <c r="AZ202" s="40" t="s">
        <v>1256</v>
      </c>
      <c r="BA202" s="35" t="s">
        <v>1262</v>
      </c>
      <c r="BC202" s="37">
        <f t="shared" si="228"/>
        <v>0</v>
      </c>
      <c r="BD202" s="37">
        <f t="shared" si="229"/>
        <v>0</v>
      </c>
      <c r="BE202" s="37">
        <v>0</v>
      </c>
      <c r="BF202" s="37">
        <f t="shared" si="230"/>
        <v>404</v>
      </c>
      <c r="BH202" s="24">
        <f t="shared" si="231"/>
        <v>0</v>
      </c>
      <c r="BI202" s="24">
        <f t="shared" si="232"/>
        <v>0</v>
      </c>
      <c r="BJ202" s="24">
        <f t="shared" si="233"/>
        <v>0</v>
      </c>
      <c r="BK202" s="24" t="s">
        <v>1267</v>
      </c>
      <c r="BL202" s="37">
        <v>732</v>
      </c>
    </row>
    <row r="203" spans="1:64" x14ac:dyDescent="0.25">
      <c r="A203" s="4" t="s">
        <v>147</v>
      </c>
      <c r="B203" s="14" t="s">
        <v>483</v>
      </c>
      <c r="C203" s="130" t="s">
        <v>876</v>
      </c>
      <c r="D203" s="131"/>
      <c r="E203" s="131"/>
      <c r="F203" s="131"/>
      <c r="G203" s="14" t="s">
        <v>1170</v>
      </c>
      <c r="H203" s="24">
        <v>1</v>
      </c>
      <c r="I203" s="24">
        <v>0</v>
      </c>
      <c r="J203" s="24">
        <f t="shared" si="211"/>
        <v>0</v>
      </c>
      <c r="K203" s="24">
        <f t="shared" si="212"/>
        <v>0</v>
      </c>
      <c r="L203" s="24">
        <f t="shared" si="213"/>
        <v>0</v>
      </c>
      <c r="M203" s="24">
        <v>0.01</v>
      </c>
      <c r="N203" s="46">
        <f>H203*203</f>
        <v>203</v>
      </c>
      <c r="O203" s="5"/>
      <c r="Z203" s="37">
        <f t="shared" si="214"/>
        <v>0</v>
      </c>
      <c r="AB203" s="37">
        <f t="shared" si="215"/>
        <v>0</v>
      </c>
      <c r="AC203" s="37">
        <f t="shared" si="216"/>
        <v>0</v>
      </c>
      <c r="AD203" s="37">
        <f t="shared" si="217"/>
        <v>0</v>
      </c>
      <c r="AE203" s="37">
        <f t="shared" si="218"/>
        <v>0</v>
      </c>
      <c r="AF203" s="37">
        <f t="shared" si="219"/>
        <v>0</v>
      </c>
      <c r="AG203" s="37">
        <f t="shared" si="220"/>
        <v>0</v>
      </c>
      <c r="AH203" s="37">
        <f t="shared" si="221"/>
        <v>0</v>
      </c>
      <c r="AI203" s="35"/>
      <c r="AJ203" s="24">
        <f t="shared" si="222"/>
        <v>0</v>
      </c>
      <c r="AK203" s="24">
        <f t="shared" si="223"/>
        <v>0</v>
      </c>
      <c r="AL203" s="24">
        <f t="shared" si="224"/>
        <v>0</v>
      </c>
      <c r="AN203" s="37">
        <v>21</v>
      </c>
      <c r="AO203" s="37">
        <f>I203*0.989658623373735</f>
        <v>0</v>
      </c>
      <c r="AP203" s="37">
        <f>I203*(1-0.989658623373735)</f>
        <v>0</v>
      </c>
      <c r="AQ203" s="38" t="s">
        <v>13</v>
      </c>
      <c r="AV203" s="37">
        <f t="shared" si="225"/>
        <v>0</v>
      </c>
      <c r="AW203" s="37">
        <f t="shared" si="226"/>
        <v>0</v>
      </c>
      <c r="AX203" s="37">
        <f t="shared" si="227"/>
        <v>0</v>
      </c>
      <c r="AY203" s="40" t="s">
        <v>1213</v>
      </c>
      <c r="AZ203" s="40" t="s">
        <v>1256</v>
      </c>
      <c r="BA203" s="35" t="s">
        <v>1262</v>
      </c>
      <c r="BC203" s="37">
        <f t="shared" si="228"/>
        <v>0</v>
      </c>
      <c r="BD203" s="37">
        <f t="shared" si="229"/>
        <v>0</v>
      </c>
      <c r="BE203" s="37">
        <v>0</v>
      </c>
      <c r="BF203" s="37">
        <f t="shared" si="230"/>
        <v>203</v>
      </c>
      <c r="BH203" s="24">
        <f t="shared" si="231"/>
        <v>0</v>
      </c>
      <c r="BI203" s="24">
        <f t="shared" si="232"/>
        <v>0</v>
      </c>
      <c r="BJ203" s="24">
        <f t="shared" si="233"/>
        <v>0</v>
      </c>
      <c r="BK203" s="24" t="s">
        <v>1267</v>
      </c>
      <c r="BL203" s="37">
        <v>732</v>
      </c>
    </row>
    <row r="204" spans="1:64" x14ac:dyDescent="0.25">
      <c r="A204" s="4" t="s">
        <v>148</v>
      </c>
      <c r="B204" s="14" t="s">
        <v>483</v>
      </c>
      <c r="C204" s="130" t="s">
        <v>877</v>
      </c>
      <c r="D204" s="131"/>
      <c r="E204" s="131"/>
      <c r="F204" s="131"/>
      <c r="G204" s="14" t="s">
        <v>1170</v>
      </c>
      <c r="H204" s="24">
        <v>1</v>
      </c>
      <c r="I204" s="24">
        <v>0</v>
      </c>
      <c r="J204" s="24">
        <f t="shared" si="211"/>
        <v>0</v>
      </c>
      <c r="K204" s="24">
        <f t="shared" si="212"/>
        <v>0</v>
      </c>
      <c r="L204" s="24">
        <f t="shared" si="213"/>
        <v>0</v>
      </c>
      <c r="M204" s="24">
        <v>0.01</v>
      </c>
      <c r="N204" s="46">
        <f>H204*204</f>
        <v>204</v>
      </c>
      <c r="O204" s="5"/>
      <c r="Z204" s="37">
        <f t="shared" si="214"/>
        <v>0</v>
      </c>
      <c r="AB204" s="37">
        <f t="shared" si="215"/>
        <v>0</v>
      </c>
      <c r="AC204" s="37">
        <f t="shared" si="216"/>
        <v>0</v>
      </c>
      <c r="AD204" s="37">
        <f t="shared" si="217"/>
        <v>0</v>
      </c>
      <c r="AE204" s="37">
        <f t="shared" si="218"/>
        <v>0</v>
      </c>
      <c r="AF204" s="37">
        <f t="shared" si="219"/>
        <v>0</v>
      </c>
      <c r="AG204" s="37">
        <f t="shared" si="220"/>
        <v>0</v>
      </c>
      <c r="AH204" s="37">
        <f t="shared" si="221"/>
        <v>0</v>
      </c>
      <c r="AI204" s="35"/>
      <c r="AJ204" s="24">
        <f t="shared" si="222"/>
        <v>0</v>
      </c>
      <c r="AK204" s="24">
        <f t="shared" si="223"/>
        <v>0</v>
      </c>
      <c r="AL204" s="24">
        <f t="shared" si="224"/>
        <v>0</v>
      </c>
      <c r="AN204" s="37">
        <v>21</v>
      </c>
      <c r="AO204" s="37">
        <f>I204*0.983635559486953</f>
        <v>0</v>
      </c>
      <c r="AP204" s="37">
        <f>I204*(1-0.983635559486953)</f>
        <v>0</v>
      </c>
      <c r="AQ204" s="38" t="s">
        <v>13</v>
      </c>
      <c r="AV204" s="37">
        <f t="shared" si="225"/>
        <v>0</v>
      </c>
      <c r="AW204" s="37">
        <f t="shared" si="226"/>
        <v>0</v>
      </c>
      <c r="AX204" s="37">
        <f t="shared" si="227"/>
        <v>0</v>
      </c>
      <c r="AY204" s="40" t="s">
        <v>1213</v>
      </c>
      <c r="AZ204" s="40" t="s">
        <v>1256</v>
      </c>
      <c r="BA204" s="35" t="s">
        <v>1262</v>
      </c>
      <c r="BC204" s="37">
        <f t="shared" si="228"/>
        <v>0</v>
      </c>
      <c r="BD204" s="37">
        <f t="shared" si="229"/>
        <v>0</v>
      </c>
      <c r="BE204" s="37">
        <v>0</v>
      </c>
      <c r="BF204" s="37">
        <f t="shared" si="230"/>
        <v>204</v>
      </c>
      <c r="BH204" s="24">
        <f t="shared" si="231"/>
        <v>0</v>
      </c>
      <c r="BI204" s="24">
        <f t="shared" si="232"/>
        <v>0</v>
      </c>
      <c r="BJ204" s="24">
        <f t="shared" si="233"/>
        <v>0</v>
      </c>
      <c r="BK204" s="24" t="s">
        <v>1267</v>
      </c>
      <c r="BL204" s="37">
        <v>732</v>
      </c>
    </row>
    <row r="205" spans="1:64" x14ac:dyDescent="0.25">
      <c r="A205" s="4" t="s">
        <v>149</v>
      </c>
      <c r="B205" s="14" t="s">
        <v>484</v>
      </c>
      <c r="C205" s="130" t="s">
        <v>878</v>
      </c>
      <c r="D205" s="131"/>
      <c r="E205" s="131"/>
      <c r="F205" s="131"/>
      <c r="G205" s="14" t="s">
        <v>1170</v>
      </c>
      <c r="H205" s="24">
        <v>1</v>
      </c>
      <c r="I205" s="24">
        <v>0</v>
      </c>
      <c r="J205" s="24">
        <f t="shared" si="211"/>
        <v>0</v>
      </c>
      <c r="K205" s="24">
        <f t="shared" si="212"/>
        <v>0</v>
      </c>
      <c r="L205" s="24">
        <f t="shared" si="213"/>
        <v>0</v>
      </c>
      <c r="M205" s="24">
        <v>2.4719999999999999E-2</v>
      </c>
      <c r="N205" s="46">
        <f>H205*205</f>
        <v>205</v>
      </c>
      <c r="O205" s="5"/>
      <c r="Z205" s="37">
        <f t="shared" si="214"/>
        <v>0</v>
      </c>
      <c r="AB205" s="37">
        <f t="shared" si="215"/>
        <v>0</v>
      </c>
      <c r="AC205" s="37">
        <f t="shared" si="216"/>
        <v>0</v>
      </c>
      <c r="AD205" s="37">
        <f t="shared" si="217"/>
        <v>0</v>
      </c>
      <c r="AE205" s="37">
        <f t="shared" si="218"/>
        <v>0</v>
      </c>
      <c r="AF205" s="37">
        <f t="shared" si="219"/>
        <v>0</v>
      </c>
      <c r="AG205" s="37">
        <f t="shared" si="220"/>
        <v>0</v>
      </c>
      <c r="AH205" s="37">
        <f t="shared" si="221"/>
        <v>0</v>
      </c>
      <c r="AI205" s="35"/>
      <c r="AJ205" s="24">
        <f t="shared" si="222"/>
        <v>0</v>
      </c>
      <c r="AK205" s="24">
        <f t="shared" si="223"/>
        <v>0</v>
      </c>
      <c r="AL205" s="24">
        <f t="shared" si="224"/>
        <v>0</v>
      </c>
      <c r="AN205" s="37">
        <v>21</v>
      </c>
      <c r="AO205" s="37">
        <f>I205*0.98977451494494</f>
        <v>0</v>
      </c>
      <c r="AP205" s="37">
        <f>I205*(1-0.98977451494494)</f>
        <v>0</v>
      </c>
      <c r="AQ205" s="38" t="s">
        <v>13</v>
      </c>
      <c r="AV205" s="37">
        <f t="shared" si="225"/>
        <v>0</v>
      </c>
      <c r="AW205" s="37">
        <f t="shared" si="226"/>
        <v>0</v>
      </c>
      <c r="AX205" s="37">
        <f t="shared" si="227"/>
        <v>0</v>
      </c>
      <c r="AY205" s="40" t="s">
        <v>1213</v>
      </c>
      <c r="AZ205" s="40" t="s">
        <v>1256</v>
      </c>
      <c r="BA205" s="35" t="s">
        <v>1262</v>
      </c>
      <c r="BC205" s="37">
        <f t="shared" si="228"/>
        <v>0</v>
      </c>
      <c r="BD205" s="37">
        <f t="shared" si="229"/>
        <v>0</v>
      </c>
      <c r="BE205" s="37">
        <v>0</v>
      </c>
      <c r="BF205" s="37">
        <f t="shared" si="230"/>
        <v>205</v>
      </c>
      <c r="BH205" s="24">
        <f t="shared" si="231"/>
        <v>0</v>
      </c>
      <c r="BI205" s="24">
        <f t="shared" si="232"/>
        <v>0</v>
      </c>
      <c r="BJ205" s="24">
        <f t="shared" si="233"/>
        <v>0</v>
      </c>
      <c r="BK205" s="24" t="s">
        <v>1267</v>
      </c>
      <c r="BL205" s="37">
        <v>732</v>
      </c>
    </row>
    <row r="206" spans="1:64" x14ac:dyDescent="0.25">
      <c r="A206" s="5"/>
      <c r="C206" s="18" t="s">
        <v>7</v>
      </c>
      <c r="F206" s="20" t="s">
        <v>1144</v>
      </c>
      <c r="H206" s="25">
        <v>1</v>
      </c>
      <c r="N206" s="36"/>
      <c r="O206" s="5"/>
    </row>
    <row r="207" spans="1:64" x14ac:dyDescent="0.25">
      <c r="A207" s="4" t="s">
        <v>150</v>
      </c>
      <c r="B207" s="14" t="s">
        <v>485</v>
      </c>
      <c r="C207" s="130" t="s">
        <v>879</v>
      </c>
      <c r="D207" s="131"/>
      <c r="E207" s="131"/>
      <c r="F207" s="131"/>
      <c r="G207" s="14" t="s">
        <v>1170</v>
      </c>
      <c r="H207" s="24">
        <v>1</v>
      </c>
      <c r="I207" s="24">
        <v>0</v>
      </c>
      <c r="J207" s="24">
        <f>H207*AO207</f>
        <v>0</v>
      </c>
      <c r="K207" s="24">
        <f>H207*AP207</f>
        <v>0</v>
      </c>
      <c r="L207" s="24">
        <f>H207*I207</f>
        <v>0</v>
      </c>
      <c r="M207" s="24">
        <v>2.4629999999999999E-2</v>
      </c>
      <c r="N207" s="46">
        <f>H207*207</f>
        <v>207</v>
      </c>
      <c r="O207" s="5"/>
      <c r="Z207" s="37">
        <f>IF(AQ207="5",BJ207,0)</f>
        <v>0</v>
      </c>
      <c r="AB207" s="37">
        <f>IF(AQ207="1",BH207,0)</f>
        <v>0</v>
      </c>
      <c r="AC207" s="37">
        <f>IF(AQ207="1",BI207,0)</f>
        <v>0</v>
      </c>
      <c r="AD207" s="37">
        <f>IF(AQ207="7",BH207,0)</f>
        <v>0</v>
      </c>
      <c r="AE207" s="37">
        <f>IF(AQ207="7",BI207,0)</f>
        <v>0</v>
      </c>
      <c r="AF207" s="37">
        <f>IF(AQ207="2",BH207,0)</f>
        <v>0</v>
      </c>
      <c r="AG207" s="37">
        <f>IF(AQ207="2",BI207,0)</f>
        <v>0</v>
      </c>
      <c r="AH207" s="37">
        <f>IF(AQ207="0",BJ207,0)</f>
        <v>0</v>
      </c>
      <c r="AI207" s="35"/>
      <c r="AJ207" s="24">
        <f>IF(AN207=0,L207,0)</f>
        <v>0</v>
      </c>
      <c r="AK207" s="24">
        <f>IF(AN207=15,L207,0)</f>
        <v>0</v>
      </c>
      <c r="AL207" s="24">
        <f>IF(AN207=21,L207,0)</f>
        <v>0</v>
      </c>
      <c r="AN207" s="37">
        <v>21</v>
      </c>
      <c r="AO207" s="37">
        <f>I207*0.949517984865761</f>
        <v>0</v>
      </c>
      <c r="AP207" s="37">
        <f>I207*(1-0.949517984865761)</f>
        <v>0</v>
      </c>
      <c r="AQ207" s="38" t="s">
        <v>13</v>
      </c>
      <c r="AV207" s="37">
        <f>AW207+AX207</f>
        <v>0</v>
      </c>
      <c r="AW207" s="37">
        <f>H207*AO207</f>
        <v>0</v>
      </c>
      <c r="AX207" s="37">
        <f>H207*AP207</f>
        <v>0</v>
      </c>
      <c r="AY207" s="40" t="s">
        <v>1213</v>
      </c>
      <c r="AZ207" s="40" t="s">
        <v>1256</v>
      </c>
      <c r="BA207" s="35" t="s">
        <v>1262</v>
      </c>
      <c r="BC207" s="37">
        <f>AW207+AX207</f>
        <v>0</v>
      </c>
      <c r="BD207" s="37">
        <f>I207/(100-BE207)*100</f>
        <v>0</v>
      </c>
      <c r="BE207" s="37">
        <v>0</v>
      </c>
      <c r="BF207" s="37">
        <f>N207</f>
        <v>207</v>
      </c>
      <c r="BH207" s="24">
        <f>H207*AO207</f>
        <v>0</v>
      </c>
      <c r="BI207" s="24">
        <f>H207*AP207</f>
        <v>0</v>
      </c>
      <c r="BJ207" s="24">
        <f>H207*I207</f>
        <v>0</v>
      </c>
      <c r="BK207" s="24" t="s">
        <v>1267</v>
      </c>
      <c r="BL207" s="37">
        <v>732</v>
      </c>
    </row>
    <row r="208" spans="1:64" x14ac:dyDescent="0.25">
      <c r="A208" s="4" t="s">
        <v>151</v>
      </c>
      <c r="B208" s="14" t="s">
        <v>486</v>
      </c>
      <c r="C208" s="130" t="s">
        <v>880</v>
      </c>
      <c r="D208" s="131"/>
      <c r="E208" s="131"/>
      <c r="F208" s="131"/>
      <c r="G208" s="14" t="s">
        <v>1170</v>
      </c>
      <c r="H208" s="24">
        <v>1</v>
      </c>
      <c r="I208" s="24">
        <v>0</v>
      </c>
      <c r="J208" s="24">
        <f>H208*AO208</f>
        <v>0</v>
      </c>
      <c r="K208" s="24">
        <f>H208*AP208</f>
        <v>0</v>
      </c>
      <c r="L208" s="24">
        <f>H208*I208</f>
        <v>0</v>
      </c>
      <c r="M208" s="24">
        <v>2.571E-2</v>
      </c>
      <c r="N208" s="46">
        <f>H208*208</f>
        <v>208</v>
      </c>
      <c r="O208" s="5"/>
      <c r="Z208" s="37">
        <f>IF(AQ208="5",BJ208,0)</f>
        <v>0</v>
      </c>
      <c r="AB208" s="37">
        <f>IF(AQ208="1",BH208,0)</f>
        <v>0</v>
      </c>
      <c r="AC208" s="37">
        <f>IF(AQ208="1",BI208,0)</f>
        <v>0</v>
      </c>
      <c r="AD208" s="37">
        <f>IF(AQ208="7",BH208,0)</f>
        <v>0</v>
      </c>
      <c r="AE208" s="37">
        <f>IF(AQ208="7",BI208,0)</f>
        <v>0</v>
      </c>
      <c r="AF208" s="37">
        <f>IF(AQ208="2",BH208,0)</f>
        <v>0</v>
      </c>
      <c r="AG208" s="37">
        <f>IF(AQ208="2",BI208,0)</f>
        <v>0</v>
      </c>
      <c r="AH208" s="37">
        <f>IF(AQ208="0",BJ208,0)</f>
        <v>0</v>
      </c>
      <c r="AI208" s="35"/>
      <c r="AJ208" s="24">
        <f>IF(AN208=0,L208,0)</f>
        <v>0</v>
      </c>
      <c r="AK208" s="24">
        <f>IF(AN208=15,L208,0)</f>
        <v>0</v>
      </c>
      <c r="AL208" s="24">
        <f>IF(AN208=21,L208,0)</f>
        <v>0</v>
      </c>
      <c r="AN208" s="37">
        <v>21</v>
      </c>
      <c r="AO208" s="37">
        <f>I208*0.922595777951525</f>
        <v>0</v>
      </c>
      <c r="AP208" s="37">
        <f>I208*(1-0.922595777951525)</f>
        <v>0</v>
      </c>
      <c r="AQ208" s="38" t="s">
        <v>13</v>
      </c>
      <c r="AV208" s="37">
        <f>AW208+AX208</f>
        <v>0</v>
      </c>
      <c r="AW208" s="37">
        <f>H208*AO208</f>
        <v>0</v>
      </c>
      <c r="AX208" s="37">
        <f>H208*AP208</f>
        <v>0</v>
      </c>
      <c r="AY208" s="40" t="s">
        <v>1213</v>
      </c>
      <c r="AZ208" s="40" t="s">
        <v>1256</v>
      </c>
      <c r="BA208" s="35" t="s">
        <v>1262</v>
      </c>
      <c r="BC208" s="37">
        <f>AW208+AX208</f>
        <v>0</v>
      </c>
      <c r="BD208" s="37">
        <f>I208/(100-BE208)*100</f>
        <v>0</v>
      </c>
      <c r="BE208" s="37">
        <v>0</v>
      </c>
      <c r="BF208" s="37">
        <f>N208</f>
        <v>208</v>
      </c>
      <c r="BH208" s="24">
        <f>H208*AO208</f>
        <v>0</v>
      </c>
      <c r="BI208" s="24">
        <f>H208*AP208</f>
        <v>0</v>
      </c>
      <c r="BJ208" s="24">
        <f>H208*I208</f>
        <v>0</v>
      </c>
      <c r="BK208" s="24" t="s">
        <v>1267</v>
      </c>
      <c r="BL208" s="37">
        <v>732</v>
      </c>
    </row>
    <row r="209" spans="1:64" x14ac:dyDescent="0.25">
      <c r="A209" s="4" t="s">
        <v>152</v>
      </c>
      <c r="B209" s="14" t="s">
        <v>487</v>
      </c>
      <c r="C209" s="130" t="s">
        <v>881</v>
      </c>
      <c r="D209" s="131"/>
      <c r="E209" s="131"/>
      <c r="F209" s="131"/>
      <c r="G209" s="14" t="s">
        <v>1170</v>
      </c>
      <c r="H209" s="24">
        <v>1</v>
      </c>
      <c r="I209" s="24">
        <v>0</v>
      </c>
      <c r="J209" s="24">
        <f>H209*AO209</f>
        <v>0</v>
      </c>
      <c r="K209" s="24">
        <f>H209*AP209</f>
        <v>0</v>
      </c>
      <c r="L209" s="24">
        <f>H209*I209</f>
        <v>0</v>
      </c>
      <c r="M209" s="24">
        <v>2.5200000000000001E-3</v>
      </c>
      <c r="N209" s="46">
        <f>H209*209</f>
        <v>209</v>
      </c>
      <c r="O209" s="5"/>
      <c r="Z209" s="37">
        <f>IF(AQ209="5",BJ209,0)</f>
        <v>0</v>
      </c>
      <c r="AB209" s="37">
        <f>IF(AQ209="1",BH209,0)</f>
        <v>0</v>
      </c>
      <c r="AC209" s="37">
        <f>IF(AQ209="1",BI209,0)</f>
        <v>0</v>
      </c>
      <c r="AD209" s="37">
        <f>IF(AQ209="7",BH209,0)</f>
        <v>0</v>
      </c>
      <c r="AE209" s="37">
        <f>IF(AQ209="7",BI209,0)</f>
        <v>0</v>
      </c>
      <c r="AF209" s="37">
        <f>IF(AQ209="2",BH209,0)</f>
        <v>0</v>
      </c>
      <c r="AG209" s="37">
        <f>IF(AQ209="2",BI209,0)</f>
        <v>0</v>
      </c>
      <c r="AH209" s="37">
        <f>IF(AQ209="0",BJ209,0)</f>
        <v>0</v>
      </c>
      <c r="AI209" s="35"/>
      <c r="AJ209" s="24">
        <f>IF(AN209=0,L209,0)</f>
        <v>0</v>
      </c>
      <c r="AK209" s="24">
        <f>IF(AN209=15,L209,0)</f>
        <v>0</v>
      </c>
      <c r="AL209" s="24">
        <f>IF(AN209=21,L209,0)</f>
        <v>0</v>
      </c>
      <c r="AN209" s="37">
        <v>21</v>
      </c>
      <c r="AO209" s="37">
        <f>I209*0.946530147895336</f>
        <v>0</v>
      </c>
      <c r="AP209" s="37">
        <f>I209*(1-0.946530147895336)</f>
        <v>0</v>
      </c>
      <c r="AQ209" s="38" t="s">
        <v>13</v>
      </c>
      <c r="AV209" s="37">
        <f>AW209+AX209</f>
        <v>0</v>
      </c>
      <c r="AW209" s="37">
        <f>H209*AO209</f>
        <v>0</v>
      </c>
      <c r="AX209" s="37">
        <f>H209*AP209</f>
        <v>0</v>
      </c>
      <c r="AY209" s="40" t="s">
        <v>1213</v>
      </c>
      <c r="AZ209" s="40" t="s">
        <v>1256</v>
      </c>
      <c r="BA209" s="35" t="s">
        <v>1262</v>
      </c>
      <c r="BC209" s="37">
        <f>AW209+AX209</f>
        <v>0</v>
      </c>
      <c r="BD209" s="37">
        <f>I209/(100-BE209)*100</f>
        <v>0</v>
      </c>
      <c r="BE209" s="37">
        <v>0</v>
      </c>
      <c r="BF209" s="37">
        <f>N209</f>
        <v>209</v>
      </c>
      <c r="BH209" s="24">
        <f>H209*AO209</f>
        <v>0</v>
      </c>
      <c r="BI209" s="24">
        <f>H209*AP209</f>
        <v>0</v>
      </c>
      <c r="BJ209" s="24">
        <f>H209*I209</f>
        <v>0</v>
      </c>
      <c r="BK209" s="24" t="s">
        <v>1267</v>
      </c>
      <c r="BL209" s="37">
        <v>732</v>
      </c>
    </row>
    <row r="210" spans="1:64" x14ac:dyDescent="0.25">
      <c r="A210" s="4" t="s">
        <v>153</v>
      </c>
      <c r="B210" s="14" t="s">
        <v>488</v>
      </c>
      <c r="C210" s="130" t="s">
        <v>882</v>
      </c>
      <c r="D210" s="131"/>
      <c r="E210" s="131"/>
      <c r="F210" s="131"/>
      <c r="G210" s="14" t="s">
        <v>1170</v>
      </c>
      <c r="H210" s="24">
        <v>1</v>
      </c>
      <c r="I210" s="24">
        <v>0</v>
      </c>
      <c r="J210" s="24">
        <f>H210*AO210</f>
        <v>0</v>
      </c>
      <c r="K210" s="24">
        <f>H210*AP210</f>
        <v>0</v>
      </c>
      <c r="L210" s="24">
        <f>H210*I210</f>
        <v>0</v>
      </c>
      <c r="M210" s="24">
        <v>2.6880000000000001E-2</v>
      </c>
      <c r="N210" s="46">
        <f>H210*210</f>
        <v>210</v>
      </c>
      <c r="O210" s="5"/>
      <c r="Z210" s="37">
        <f>IF(AQ210="5",BJ210,0)</f>
        <v>0</v>
      </c>
      <c r="AB210" s="37">
        <f>IF(AQ210="1",BH210,0)</f>
        <v>0</v>
      </c>
      <c r="AC210" s="37">
        <f>IF(AQ210="1",BI210,0)</f>
        <v>0</v>
      </c>
      <c r="AD210" s="37">
        <f>IF(AQ210="7",BH210,0)</f>
        <v>0</v>
      </c>
      <c r="AE210" s="37">
        <f>IF(AQ210="7",BI210,0)</f>
        <v>0</v>
      </c>
      <c r="AF210" s="37">
        <f>IF(AQ210="2",BH210,0)</f>
        <v>0</v>
      </c>
      <c r="AG210" s="37">
        <f>IF(AQ210="2",BI210,0)</f>
        <v>0</v>
      </c>
      <c r="AH210" s="37">
        <f>IF(AQ210="0",BJ210,0)</f>
        <v>0</v>
      </c>
      <c r="AI210" s="35"/>
      <c r="AJ210" s="24">
        <f>IF(AN210=0,L210,0)</f>
        <v>0</v>
      </c>
      <c r="AK210" s="24">
        <f>IF(AN210=15,L210,0)</f>
        <v>0</v>
      </c>
      <c r="AL210" s="24">
        <f>IF(AN210=21,L210,0)</f>
        <v>0</v>
      </c>
      <c r="AN210" s="37">
        <v>21</v>
      </c>
      <c r="AO210" s="37">
        <f>I210*0.971164994706861</f>
        <v>0</v>
      </c>
      <c r="AP210" s="37">
        <f>I210*(1-0.971164994706861)</f>
        <v>0</v>
      </c>
      <c r="AQ210" s="38" t="s">
        <v>13</v>
      </c>
      <c r="AV210" s="37">
        <f>AW210+AX210</f>
        <v>0</v>
      </c>
      <c r="AW210" s="37">
        <f>H210*AO210</f>
        <v>0</v>
      </c>
      <c r="AX210" s="37">
        <f>H210*AP210</f>
        <v>0</v>
      </c>
      <c r="AY210" s="40" t="s">
        <v>1213</v>
      </c>
      <c r="AZ210" s="40" t="s">
        <v>1256</v>
      </c>
      <c r="BA210" s="35" t="s">
        <v>1262</v>
      </c>
      <c r="BC210" s="37">
        <f>AW210+AX210</f>
        <v>0</v>
      </c>
      <c r="BD210" s="37">
        <f>I210/(100-BE210)*100</f>
        <v>0</v>
      </c>
      <c r="BE210" s="37">
        <v>0</v>
      </c>
      <c r="BF210" s="37">
        <f>N210</f>
        <v>210</v>
      </c>
      <c r="BH210" s="24">
        <f>H210*AO210</f>
        <v>0</v>
      </c>
      <c r="BI210" s="24">
        <f>H210*AP210</f>
        <v>0</v>
      </c>
      <c r="BJ210" s="24">
        <f>H210*I210</f>
        <v>0</v>
      </c>
      <c r="BK210" s="24" t="s">
        <v>1267</v>
      </c>
      <c r="BL210" s="37">
        <v>732</v>
      </c>
    </row>
    <row r="211" spans="1:64" x14ac:dyDescent="0.25">
      <c r="A211" s="5"/>
      <c r="C211" s="18" t="s">
        <v>7</v>
      </c>
      <c r="F211" s="20" t="s">
        <v>1145</v>
      </c>
      <c r="H211" s="25">
        <v>1</v>
      </c>
      <c r="N211" s="36"/>
      <c r="O211" s="5"/>
    </row>
    <row r="212" spans="1:64" x14ac:dyDescent="0.25">
      <c r="A212" s="7" t="s">
        <v>154</v>
      </c>
      <c r="B212" s="16" t="s">
        <v>489</v>
      </c>
      <c r="C212" s="134" t="s">
        <v>883</v>
      </c>
      <c r="D212" s="135"/>
      <c r="E212" s="135"/>
      <c r="F212" s="135"/>
      <c r="G212" s="16" t="s">
        <v>1170</v>
      </c>
      <c r="H212" s="26">
        <v>1</v>
      </c>
      <c r="I212" s="26">
        <v>0</v>
      </c>
      <c r="J212" s="26">
        <f>H212*AO212</f>
        <v>0</v>
      </c>
      <c r="K212" s="26">
        <f>H212*AP212</f>
        <v>0</v>
      </c>
      <c r="L212" s="26">
        <f>H212*I212</f>
        <v>0</v>
      </c>
      <c r="M212" s="26">
        <v>0.02</v>
      </c>
      <c r="N212" s="48">
        <f>H212*212</f>
        <v>212</v>
      </c>
      <c r="O212" s="5"/>
      <c r="Z212" s="37">
        <f>IF(AQ212="5",BJ212,0)</f>
        <v>0</v>
      </c>
      <c r="AB212" s="37">
        <f>IF(AQ212="1",BH212,0)</f>
        <v>0</v>
      </c>
      <c r="AC212" s="37">
        <f>IF(AQ212="1",BI212,0)</f>
        <v>0</v>
      </c>
      <c r="AD212" s="37">
        <f>IF(AQ212="7",BH212,0)</f>
        <v>0</v>
      </c>
      <c r="AE212" s="37">
        <f>IF(AQ212="7",BI212,0)</f>
        <v>0</v>
      </c>
      <c r="AF212" s="37">
        <f>IF(AQ212="2",BH212,0)</f>
        <v>0</v>
      </c>
      <c r="AG212" s="37">
        <f>IF(AQ212="2",BI212,0)</f>
        <v>0</v>
      </c>
      <c r="AH212" s="37">
        <f>IF(AQ212="0",BJ212,0)</f>
        <v>0</v>
      </c>
      <c r="AI212" s="35"/>
      <c r="AJ212" s="26">
        <f>IF(AN212=0,L212,0)</f>
        <v>0</v>
      </c>
      <c r="AK212" s="26">
        <f>IF(AN212=15,L212,0)</f>
        <v>0</v>
      </c>
      <c r="AL212" s="26">
        <f>IF(AN212=21,L212,0)</f>
        <v>0</v>
      </c>
      <c r="AN212" s="37">
        <v>21</v>
      </c>
      <c r="AO212" s="37">
        <f>I212*1</f>
        <v>0</v>
      </c>
      <c r="AP212" s="37">
        <f>I212*(1-1)</f>
        <v>0</v>
      </c>
      <c r="AQ212" s="39" t="s">
        <v>13</v>
      </c>
      <c r="AV212" s="37">
        <f>AW212+AX212</f>
        <v>0</v>
      </c>
      <c r="AW212" s="37">
        <f>H212*AO212</f>
        <v>0</v>
      </c>
      <c r="AX212" s="37">
        <f>H212*AP212</f>
        <v>0</v>
      </c>
      <c r="AY212" s="40" t="s">
        <v>1213</v>
      </c>
      <c r="AZ212" s="40" t="s">
        <v>1256</v>
      </c>
      <c r="BA212" s="35" t="s">
        <v>1262</v>
      </c>
      <c r="BC212" s="37">
        <f>AW212+AX212</f>
        <v>0</v>
      </c>
      <c r="BD212" s="37">
        <f>I212/(100-BE212)*100</f>
        <v>0</v>
      </c>
      <c r="BE212" s="37">
        <v>0</v>
      </c>
      <c r="BF212" s="37">
        <f>N212</f>
        <v>212</v>
      </c>
      <c r="BH212" s="26">
        <f>H212*AO212</f>
        <v>0</v>
      </c>
      <c r="BI212" s="26">
        <f>H212*AP212</f>
        <v>0</v>
      </c>
      <c r="BJ212" s="26">
        <f>H212*I212</f>
        <v>0</v>
      </c>
      <c r="BK212" s="26" t="s">
        <v>1268</v>
      </c>
      <c r="BL212" s="37">
        <v>732</v>
      </c>
    </row>
    <row r="213" spans="1:64" x14ac:dyDescent="0.25">
      <c r="A213" s="6"/>
      <c r="B213" s="15" t="s">
        <v>490</v>
      </c>
      <c r="C213" s="132" t="s">
        <v>884</v>
      </c>
      <c r="D213" s="133"/>
      <c r="E213" s="133"/>
      <c r="F213" s="133"/>
      <c r="G213" s="22" t="s">
        <v>6</v>
      </c>
      <c r="H213" s="22" t="s">
        <v>6</v>
      </c>
      <c r="I213" s="22" t="s">
        <v>6</v>
      </c>
      <c r="J213" s="43">
        <f>SUM(J214:J224)</f>
        <v>0</v>
      </c>
      <c r="K213" s="43">
        <f>SUM(K214:K224)</f>
        <v>0</v>
      </c>
      <c r="L213" s="43">
        <f>SUM(L214:L224)</f>
        <v>0</v>
      </c>
      <c r="M213" s="35"/>
      <c r="N213" s="47">
        <f>SUM(N214:N224)</f>
        <v>22835</v>
      </c>
      <c r="O213" s="5"/>
      <c r="AI213" s="35"/>
      <c r="AS213" s="43">
        <f>SUM(AJ214:AJ224)</f>
        <v>0</v>
      </c>
      <c r="AT213" s="43">
        <f>SUM(AK214:AK224)</f>
        <v>0</v>
      </c>
      <c r="AU213" s="43">
        <f>SUM(AL214:AL224)</f>
        <v>0</v>
      </c>
    </row>
    <row r="214" spans="1:64" x14ac:dyDescent="0.25">
      <c r="A214" s="4" t="s">
        <v>155</v>
      </c>
      <c r="B214" s="14" t="s">
        <v>491</v>
      </c>
      <c r="C214" s="130" t="s">
        <v>885</v>
      </c>
      <c r="D214" s="131"/>
      <c r="E214" s="131"/>
      <c r="F214" s="131"/>
      <c r="G214" s="14" t="s">
        <v>1165</v>
      </c>
      <c r="H214" s="24">
        <v>10</v>
      </c>
      <c r="I214" s="24">
        <v>0</v>
      </c>
      <c r="J214" s="24">
        <f t="shared" ref="J214:J224" si="234">H214*AO214</f>
        <v>0</v>
      </c>
      <c r="K214" s="24">
        <f t="shared" ref="K214:K224" si="235">H214*AP214</f>
        <v>0</v>
      </c>
      <c r="L214" s="24">
        <f t="shared" ref="L214:L224" si="236">H214*I214</f>
        <v>0</v>
      </c>
      <c r="M214" s="24">
        <v>1.2999999999999999E-4</v>
      </c>
      <c r="N214" s="46">
        <f>H214*214</f>
        <v>2140</v>
      </c>
      <c r="O214" s="5"/>
      <c r="Z214" s="37">
        <f t="shared" ref="Z214:Z224" si="237">IF(AQ214="5",BJ214,0)</f>
        <v>0</v>
      </c>
      <c r="AB214" s="37">
        <f t="shared" ref="AB214:AB224" si="238">IF(AQ214="1",BH214,0)</f>
        <v>0</v>
      </c>
      <c r="AC214" s="37">
        <f t="shared" ref="AC214:AC224" si="239">IF(AQ214="1",BI214,0)</f>
        <v>0</v>
      </c>
      <c r="AD214" s="37">
        <f t="shared" ref="AD214:AD224" si="240">IF(AQ214="7",BH214,0)</f>
        <v>0</v>
      </c>
      <c r="AE214" s="37">
        <f t="shared" ref="AE214:AE224" si="241">IF(AQ214="7",BI214,0)</f>
        <v>0</v>
      </c>
      <c r="AF214" s="37">
        <f t="shared" ref="AF214:AF224" si="242">IF(AQ214="2",BH214,0)</f>
        <v>0</v>
      </c>
      <c r="AG214" s="37">
        <f t="shared" ref="AG214:AG224" si="243">IF(AQ214="2",BI214,0)</f>
        <v>0</v>
      </c>
      <c r="AH214" s="37">
        <f t="shared" ref="AH214:AH224" si="244">IF(AQ214="0",BJ214,0)</f>
        <v>0</v>
      </c>
      <c r="AI214" s="35"/>
      <c r="AJ214" s="24">
        <f t="shared" ref="AJ214:AJ224" si="245">IF(AN214=0,L214,0)</f>
        <v>0</v>
      </c>
      <c r="AK214" s="24">
        <f t="shared" ref="AK214:AK224" si="246">IF(AN214=15,L214,0)</f>
        <v>0</v>
      </c>
      <c r="AL214" s="24">
        <f t="shared" ref="AL214:AL224" si="247">IF(AN214=21,L214,0)</f>
        <v>0</v>
      </c>
      <c r="AN214" s="37">
        <v>21</v>
      </c>
      <c r="AO214" s="37">
        <f>I214*0.255097276264591</f>
        <v>0</v>
      </c>
      <c r="AP214" s="37">
        <f>I214*(1-0.255097276264591)</f>
        <v>0</v>
      </c>
      <c r="AQ214" s="38" t="s">
        <v>13</v>
      </c>
      <c r="AV214" s="37">
        <f t="shared" ref="AV214:AV224" si="248">AW214+AX214</f>
        <v>0</v>
      </c>
      <c r="AW214" s="37">
        <f t="shared" ref="AW214:AW224" si="249">H214*AO214</f>
        <v>0</v>
      </c>
      <c r="AX214" s="37">
        <f t="shared" ref="AX214:AX224" si="250">H214*AP214</f>
        <v>0</v>
      </c>
      <c r="AY214" s="40" t="s">
        <v>1214</v>
      </c>
      <c r="AZ214" s="40" t="s">
        <v>1256</v>
      </c>
      <c r="BA214" s="35" t="s">
        <v>1262</v>
      </c>
      <c r="BC214" s="37">
        <f t="shared" ref="BC214:BC224" si="251">AW214+AX214</f>
        <v>0</v>
      </c>
      <c r="BD214" s="37">
        <f t="shared" ref="BD214:BD224" si="252">I214/(100-BE214)*100</f>
        <v>0</v>
      </c>
      <c r="BE214" s="37">
        <v>0</v>
      </c>
      <c r="BF214" s="37">
        <f t="shared" ref="BF214:BF224" si="253">N214</f>
        <v>2140</v>
      </c>
      <c r="BH214" s="24">
        <f t="shared" ref="BH214:BH224" si="254">H214*AO214</f>
        <v>0</v>
      </c>
      <c r="BI214" s="24">
        <f t="shared" ref="BI214:BI224" si="255">H214*AP214</f>
        <v>0</v>
      </c>
      <c r="BJ214" s="24">
        <f t="shared" ref="BJ214:BJ224" si="256">H214*I214</f>
        <v>0</v>
      </c>
      <c r="BK214" s="24" t="s">
        <v>1267</v>
      </c>
      <c r="BL214" s="37">
        <v>733</v>
      </c>
    </row>
    <row r="215" spans="1:64" x14ac:dyDescent="0.25">
      <c r="A215" s="4" t="s">
        <v>156</v>
      </c>
      <c r="B215" s="14" t="s">
        <v>492</v>
      </c>
      <c r="C215" s="130" t="s">
        <v>886</v>
      </c>
      <c r="D215" s="131"/>
      <c r="E215" s="131"/>
      <c r="F215" s="131"/>
      <c r="G215" s="14" t="s">
        <v>1165</v>
      </c>
      <c r="H215" s="24">
        <v>10</v>
      </c>
      <c r="I215" s="24">
        <v>0</v>
      </c>
      <c r="J215" s="24">
        <f t="shared" si="234"/>
        <v>0</v>
      </c>
      <c r="K215" s="24">
        <f t="shared" si="235"/>
        <v>0</v>
      </c>
      <c r="L215" s="24">
        <f t="shared" si="236"/>
        <v>0</v>
      </c>
      <c r="M215" s="24">
        <v>6.0000000000000002E-5</v>
      </c>
      <c r="N215" s="46">
        <f>H215*215</f>
        <v>2150</v>
      </c>
      <c r="O215" s="5"/>
      <c r="Z215" s="37">
        <f t="shared" si="237"/>
        <v>0</v>
      </c>
      <c r="AB215" s="37">
        <f t="shared" si="238"/>
        <v>0</v>
      </c>
      <c r="AC215" s="37">
        <f t="shared" si="239"/>
        <v>0</v>
      </c>
      <c r="AD215" s="37">
        <f t="shared" si="240"/>
        <v>0</v>
      </c>
      <c r="AE215" s="37">
        <f t="shared" si="241"/>
        <v>0</v>
      </c>
      <c r="AF215" s="37">
        <f t="shared" si="242"/>
        <v>0</v>
      </c>
      <c r="AG215" s="37">
        <f t="shared" si="243"/>
        <v>0</v>
      </c>
      <c r="AH215" s="37">
        <f t="shared" si="244"/>
        <v>0</v>
      </c>
      <c r="AI215" s="35"/>
      <c r="AJ215" s="24">
        <f t="shared" si="245"/>
        <v>0</v>
      </c>
      <c r="AK215" s="24">
        <f t="shared" si="246"/>
        <v>0</v>
      </c>
      <c r="AL215" s="24">
        <f t="shared" si="247"/>
        <v>0</v>
      </c>
      <c r="AN215" s="37">
        <v>21</v>
      </c>
      <c r="AO215" s="37">
        <f>I215*0.15990243902439</f>
        <v>0</v>
      </c>
      <c r="AP215" s="37">
        <f>I215*(1-0.15990243902439)</f>
        <v>0</v>
      </c>
      <c r="AQ215" s="38" t="s">
        <v>13</v>
      </c>
      <c r="AV215" s="37">
        <f t="shared" si="248"/>
        <v>0</v>
      </c>
      <c r="AW215" s="37">
        <f t="shared" si="249"/>
        <v>0</v>
      </c>
      <c r="AX215" s="37">
        <f t="shared" si="250"/>
        <v>0</v>
      </c>
      <c r="AY215" s="40" t="s">
        <v>1214</v>
      </c>
      <c r="AZ215" s="40" t="s">
        <v>1256</v>
      </c>
      <c r="BA215" s="35" t="s">
        <v>1262</v>
      </c>
      <c r="BC215" s="37">
        <f t="shared" si="251"/>
        <v>0</v>
      </c>
      <c r="BD215" s="37">
        <f t="shared" si="252"/>
        <v>0</v>
      </c>
      <c r="BE215" s="37">
        <v>0</v>
      </c>
      <c r="BF215" s="37">
        <f t="shared" si="253"/>
        <v>2150</v>
      </c>
      <c r="BH215" s="24">
        <f t="shared" si="254"/>
        <v>0</v>
      </c>
      <c r="BI215" s="24">
        <f t="shared" si="255"/>
        <v>0</v>
      </c>
      <c r="BJ215" s="24">
        <f t="shared" si="256"/>
        <v>0</v>
      </c>
      <c r="BK215" s="24" t="s">
        <v>1267</v>
      </c>
      <c r="BL215" s="37">
        <v>733</v>
      </c>
    </row>
    <row r="216" spans="1:64" x14ac:dyDescent="0.25">
      <c r="A216" s="4" t="s">
        <v>157</v>
      </c>
      <c r="B216" s="14" t="s">
        <v>493</v>
      </c>
      <c r="C216" s="130" t="s">
        <v>887</v>
      </c>
      <c r="D216" s="131"/>
      <c r="E216" s="131"/>
      <c r="F216" s="131"/>
      <c r="G216" s="14" t="s">
        <v>1165</v>
      </c>
      <c r="H216" s="24">
        <v>18</v>
      </c>
      <c r="I216" s="24">
        <v>0</v>
      </c>
      <c r="J216" s="24">
        <f t="shared" si="234"/>
        <v>0</v>
      </c>
      <c r="K216" s="24">
        <f t="shared" si="235"/>
        <v>0</v>
      </c>
      <c r="L216" s="24">
        <f t="shared" si="236"/>
        <v>0</v>
      </c>
      <c r="M216" s="24">
        <v>9.8499999999999994E-3</v>
      </c>
      <c r="N216" s="46">
        <f>H216*216</f>
        <v>3888</v>
      </c>
      <c r="O216" s="5"/>
      <c r="Z216" s="37">
        <f t="shared" si="237"/>
        <v>0</v>
      </c>
      <c r="AB216" s="37">
        <f t="shared" si="238"/>
        <v>0</v>
      </c>
      <c r="AC216" s="37">
        <f t="shared" si="239"/>
        <v>0</v>
      </c>
      <c r="AD216" s="37">
        <f t="shared" si="240"/>
        <v>0</v>
      </c>
      <c r="AE216" s="37">
        <f t="shared" si="241"/>
        <v>0</v>
      </c>
      <c r="AF216" s="37">
        <f t="shared" si="242"/>
        <v>0</v>
      </c>
      <c r="AG216" s="37">
        <f t="shared" si="243"/>
        <v>0</v>
      </c>
      <c r="AH216" s="37">
        <f t="shared" si="244"/>
        <v>0</v>
      </c>
      <c r="AI216" s="35"/>
      <c r="AJ216" s="24">
        <f t="shared" si="245"/>
        <v>0</v>
      </c>
      <c r="AK216" s="24">
        <f t="shared" si="246"/>
        <v>0</v>
      </c>
      <c r="AL216" s="24">
        <f t="shared" si="247"/>
        <v>0</v>
      </c>
      <c r="AN216" s="37">
        <v>21</v>
      </c>
      <c r="AO216" s="37">
        <f>I216*0.585389888603256</f>
        <v>0</v>
      </c>
      <c r="AP216" s="37">
        <f>I216*(1-0.585389888603256)</f>
        <v>0</v>
      </c>
      <c r="AQ216" s="38" t="s">
        <v>13</v>
      </c>
      <c r="AV216" s="37">
        <f t="shared" si="248"/>
        <v>0</v>
      </c>
      <c r="AW216" s="37">
        <f t="shared" si="249"/>
        <v>0</v>
      </c>
      <c r="AX216" s="37">
        <f t="shared" si="250"/>
        <v>0</v>
      </c>
      <c r="AY216" s="40" t="s">
        <v>1214</v>
      </c>
      <c r="AZ216" s="40" t="s">
        <v>1256</v>
      </c>
      <c r="BA216" s="35" t="s">
        <v>1262</v>
      </c>
      <c r="BC216" s="37">
        <f t="shared" si="251"/>
        <v>0</v>
      </c>
      <c r="BD216" s="37">
        <f t="shared" si="252"/>
        <v>0</v>
      </c>
      <c r="BE216" s="37">
        <v>0</v>
      </c>
      <c r="BF216" s="37">
        <f t="shared" si="253"/>
        <v>3888</v>
      </c>
      <c r="BH216" s="24">
        <f t="shared" si="254"/>
        <v>0</v>
      </c>
      <c r="BI216" s="24">
        <f t="shared" si="255"/>
        <v>0</v>
      </c>
      <c r="BJ216" s="24">
        <f t="shared" si="256"/>
        <v>0</v>
      </c>
      <c r="BK216" s="24" t="s">
        <v>1267</v>
      </c>
      <c r="BL216" s="37">
        <v>733</v>
      </c>
    </row>
    <row r="217" spans="1:64" x14ac:dyDescent="0.25">
      <c r="A217" s="4" t="s">
        <v>158</v>
      </c>
      <c r="B217" s="14" t="s">
        <v>494</v>
      </c>
      <c r="C217" s="130" t="s">
        <v>888</v>
      </c>
      <c r="D217" s="131"/>
      <c r="E217" s="131"/>
      <c r="F217" s="131"/>
      <c r="G217" s="14" t="s">
        <v>1165</v>
      </c>
      <c r="H217" s="24">
        <v>12</v>
      </c>
      <c r="I217" s="24">
        <v>0</v>
      </c>
      <c r="J217" s="24">
        <f t="shared" si="234"/>
        <v>0</v>
      </c>
      <c r="K217" s="24">
        <f t="shared" si="235"/>
        <v>0</v>
      </c>
      <c r="L217" s="24">
        <f t="shared" si="236"/>
        <v>0</v>
      </c>
      <c r="M217" s="24">
        <v>1.0120000000000001E-2</v>
      </c>
      <c r="N217" s="46">
        <f>H217*217</f>
        <v>2604</v>
      </c>
      <c r="O217" s="5"/>
      <c r="Z217" s="37">
        <f t="shared" si="237"/>
        <v>0</v>
      </c>
      <c r="AB217" s="37">
        <f t="shared" si="238"/>
        <v>0</v>
      </c>
      <c r="AC217" s="37">
        <f t="shared" si="239"/>
        <v>0</v>
      </c>
      <c r="AD217" s="37">
        <f t="shared" si="240"/>
        <v>0</v>
      </c>
      <c r="AE217" s="37">
        <f t="shared" si="241"/>
        <v>0</v>
      </c>
      <c r="AF217" s="37">
        <f t="shared" si="242"/>
        <v>0</v>
      </c>
      <c r="AG217" s="37">
        <f t="shared" si="243"/>
        <v>0</v>
      </c>
      <c r="AH217" s="37">
        <f t="shared" si="244"/>
        <v>0</v>
      </c>
      <c r="AI217" s="35"/>
      <c r="AJ217" s="24">
        <f t="shared" si="245"/>
        <v>0</v>
      </c>
      <c r="AK217" s="24">
        <f t="shared" si="246"/>
        <v>0</v>
      </c>
      <c r="AL217" s="24">
        <f t="shared" si="247"/>
        <v>0</v>
      </c>
      <c r="AN217" s="37">
        <v>21</v>
      </c>
      <c r="AO217" s="37">
        <f>I217*0.583409523809524</f>
        <v>0</v>
      </c>
      <c r="AP217" s="37">
        <f>I217*(1-0.583409523809524)</f>
        <v>0</v>
      </c>
      <c r="AQ217" s="38" t="s">
        <v>13</v>
      </c>
      <c r="AV217" s="37">
        <f t="shared" si="248"/>
        <v>0</v>
      </c>
      <c r="AW217" s="37">
        <f t="shared" si="249"/>
        <v>0</v>
      </c>
      <c r="AX217" s="37">
        <f t="shared" si="250"/>
        <v>0</v>
      </c>
      <c r="AY217" s="40" t="s">
        <v>1214</v>
      </c>
      <c r="AZ217" s="40" t="s">
        <v>1256</v>
      </c>
      <c r="BA217" s="35" t="s">
        <v>1262</v>
      </c>
      <c r="BC217" s="37">
        <f t="shared" si="251"/>
        <v>0</v>
      </c>
      <c r="BD217" s="37">
        <f t="shared" si="252"/>
        <v>0</v>
      </c>
      <c r="BE217" s="37">
        <v>0</v>
      </c>
      <c r="BF217" s="37">
        <f t="shared" si="253"/>
        <v>2604</v>
      </c>
      <c r="BH217" s="24">
        <f t="shared" si="254"/>
        <v>0</v>
      </c>
      <c r="BI217" s="24">
        <f t="shared" si="255"/>
        <v>0</v>
      </c>
      <c r="BJ217" s="24">
        <f t="shared" si="256"/>
        <v>0</v>
      </c>
      <c r="BK217" s="24" t="s">
        <v>1267</v>
      </c>
      <c r="BL217" s="37">
        <v>733</v>
      </c>
    </row>
    <row r="218" spans="1:64" x14ac:dyDescent="0.25">
      <c r="A218" s="4" t="s">
        <v>159</v>
      </c>
      <c r="B218" s="14" t="s">
        <v>495</v>
      </c>
      <c r="C218" s="130" t="s">
        <v>889</v>
      </c>
      <c r="D218" s="131"/>
      <c r="E218" s="131"/>
      <c r="F218" s="131"/>
      <c r="G218" s="14" t="s">
        <v>1165</v>
      </c>
      <c r="H218" s="24">
        <v>36</v>
      </c>
      <c r="I218" s="24">
        <v>0</v>
      </c>
      <c r="J218" s="24">
        <f t="shared" si="234"/>
        <v>0</v>
      </c>
      <c r="K218" s="24">
        <f t="shared" si="235"/>
        <v>0</v>
      </c>
      <c r="L218" s="24">
        <f t="shared" si="236"/>
        <v>0</v>
      </c>
      <c r="M218" s="24">
        <v>8.2699999999999996E-3</v>
      </c>
      <c r="N218" s="46">
        <f>H218*218</f>
        <v>7848</v>
      </c>
      <c r="O218" s="5"/>
      <c r="Z218" s="37">
        <f t="shared" si="237"/>
        <v>0</v>
      </c>
      <c r="AB218" s="37">
        <f t="shared" si="238"/>
        <v>0</v>
      </c>
      <c r="AC218" s="37">
        <f t="shared" si="239"/>
        <v>0</v>
      </c>
      <c r="AD218" s="37">
        <f t="shared" si="240"/>
        <v>0</v>
      </c>
      <c r="AE218" s="37">
        <f t="shared" si="241"/>
        <v>0</v>
      </c>
      <c r="AF218" s="37">
        <f t="shared" si="242"/>
        <v>0</v>
      </c>
      <c r="AG218" s="37">
        <f t="shared" si="243"/>
        <v>0</v>
      </c>
      <c r="AH218" s="37">
        <f t="shared" si="244"/>
        <v>0</v>
      </c>
      <c r="AI218" s="35"/>
      <c r="AJ218" s="24">
        <f t="shared" si="245"/>
        <v>0</v>
      </c>
      <c r="AK218" s="24">
        <f t="shared" si="246"/>
        <v>0</v>
      </c>
      <c r="AL218" s="24">
        <f t="shared" si="247"/>
        <v>0</v>
      </c>
      <c r="AN218" s="37">
        <v>21</v>
      </c>
      <c r="AO218" s="37">
        <f>I218*0.526237745098039</f>
        <v>0</v>
      </c>
      <c r="AP218" s="37">
        <f>I218*(1-0.526237745098039)</f>
        <v>0</v>
      </c>
      <c r="AQ218" s="38" t="s">
        <v>13</v>
      </c>
      <c r="AV218" s="37">
        <f t="shared" si="248"/>
        <v>0</v>
      </c>
      <c r="AW218" s="37">
        <f t="shared" si="249"/>
        <v>0</v>
      </c>
      <c r="AX218" s="37">
        <f t="shared" si="250"/>
        <v>0</v>
      </c>
      <c r="AY218" s="40" t="s">
        <v>1214</v>
      </c>
      <c r="AZ218" s="40" t="s">
        <v>1256</v>
      </c>
      <c r="BA218" s="35" t="s">
        <v>1262</v>
      </c>
      <c r="BC218" s="37">
        <f t="shared" si="251"/>
        <v>0</v>
      </c>
      <c r="BD218" s="37">
        <f t="shared" si="252"/>
        <v>0</v>
      </c>
      <c r="BE218" s="37">
        <v>0</v>
      </c>
      <c r="BF218" s="37">
        <f t="shared" si="253"/>
        <v>7848</v>
      </c>
      <c r="BH218" s="24">
        <f t="shared" si="254"/>
        <v>0</v>
      </c>
      <c r="BI218" s="24">
        <f t="shared" si="255"/>
        <v>0</v>
      </c>
      <c r="BJ218" s="24">
        <f t="shared" si="256"/>
        <v>0</v>
      </c>
      <c r="BK218" s="24" t="s">
        <v>1267</v>
      </c>
      <c r="BL218" s="37">
        <v>733</v>
      </c>
    </row>
    <row r="219" spans="1:64" x14ac:dyDescent="0.25">
      <c r="A219" s="4" t="s">
        <v>160</v>
      </c>
      <c r="B219" s="14" t="s">
        <v>496</v>
      </c>
      <c r="C219" s="130" t="s">
        <v>890</v>
      </c>
      <c r="D219" s="131"/>
      <c r="E219" s="131"/>
      <c r="F219" s="131"/>
      <c r="G219" s="14" t="s">
        <v>1165</v>
      </c>
      <c r="H219" s="24">
        <v>2</v>
      </c>
      <c r="I219" s="24">
        <v>0</v>
      </c>
      <c r="J219" s="24">
        <f t="shared" si="234"/>
        <v>0</v>
      </c>
      <c r="K219" s="24">
        <f t="shared" si="235"/>
        <v>0</v>
      </c>
      <c r="L219" s="24">
        <f t="shared" si="236"/>
        <v>0</v>
      </c>
      <c r="M219" s="24">
        <v>7.8499999999999993E-3</v>
      </c>
      <c r="N219" s="46">
        <f>H219*219</f>
        <v>438</v>
      </c>
      <c r="O219" s="5"/>
      <c r="Z219" s="37">
        <f t="shared" si="237"/>
        <v>0</v>
      </c>
      <c r="AB219" s="37">
        <f t="shared" si="238"/>
        <v>0</v>
      </c>
      <c r="AC219" s="37">
        <f t="shared" si="239"/>
        <v>0</v>
      </c>
      <c r="AD219" s="37">
        <f t="shared" si="240"/>
        <v>0</v>
      </c>
      <c r="AE219" s="37">
        <f t="shared" si="241"/>
        <v>0</v>
      </c>
      <c r="AF219" s="37">
        <f t="shared" si="242"/>
        <v>0</v>
      </c>
      <c r="AG219" s="37">
        <f t="shared" si="243"/>
        <v>0</v>
      </c>
      <c r="AH219" s="37">
        <f t="shared" si="244"/>
        <v>0</v>
      </c>
      <c r="AI219" s="35"/>
      <c r="AJ219" s="24">
        <f t="shared" si="245"/>
        <v>0</v>
      </c>
      <c r="AK219" s="24">
        <f t="shared" si="246"/>
        <v>0</v>
      </c>
      <c r="AL219" s="24">
        <f t="shared" si="247"/>
        <v>0</v>
      </c>
      <c r="AN219" s="37">
        <v>21</v>
      </c>
      <c r="AO219" s="37">
        <f>I219*0.499549795361528</f>
        <v>0</v>
      </c>
      <c r="AP219" s="37">
        <f>I219*(1-0.499549795361528)</f>
        <v>0</v>
      </c>
      <c r="AQ219" s="38" t="s">
        <v>13</v>
      </c>
      <c r="AV219" s="37">
        <f t="shared" si="248"/>
        <v>0</v>
      </c>
      <c r="AW219" s="37">
        <f t="shared" si="249"/>
        <v>0</v>
      </c>
      <c r="AX219" s="37">
        <f t="shared" si="250"/>
        <v>0</v>
      </c>
      <c r="AY219" s="40" t="s">
        <v>1214</v>
      </c>
      <c r="AZ219" s="40" t="s">
        <v>1256</v>
      </c>
      <c r="BA219" s="35" t="s">
        <v>1262</v>
      </c>
      <c r="BC219" s="37">
        <f t="shared" si="251"/>
        <v>0</v>
      </c>
      <c r="BD219" s="37">
        <f t="shared" si="252"/>
        <v>0</v>
      </c>
      <c r="BE219" s="37">
        <v>0</v>
      </c>
      <c r="BF219" s="37">
        <f t="shared" si="253"/>
        <v>438</v>
      </c>
      <c r="BH219" s="24">
        <f t="shared" si="254"/>
        <v>0</v>
      </c>
      <c r="BI219" s="24">
        <f t="shared" si="255"/>
        <v>0</v>
      </c>
      <c r="BJ219" s="24">
        <f t="shared" si="256"/>
        <v>0</v>
      </c>
      <c r="BK219" s="24" t="s">
        <v>1267</v>
      </c>
      <c r="BL219" s="37">
        <v>733</v>
      </c>
    </row>
    <row r="220" spans="1:64" x14ac:dyDescent="0.25">
      <c r="A220" s="4" t="s">
        <v>161</v>
      </c>
      <c r="B220" s="14" t="s">
        <v>497</v>
      </c>
      <c r="C220" s="130" t="s">
        <v>891</v>
      </c>
      <c r="D220" s="131"/>
      <c r="E220" s="131"/>
      <c r="F220" s="131"/>
      <c r="G220" s="14" t="s">
        <v>1165</v>
      </c>
      <c r="H220" s="24">
        <v>6</v>
      </c>
      <c r="I220" s="24">
        <v>0</v>
      </c>
      <c r="J220" s="24">
        <f t="shared" si="234"/>
        <v>0</v>
      </c>
      <c r="K220" s="24">
        <f t="shared" si="235"/>
        <v>0</v>
      </c>
      <c r="L220" s="24">
        <f t="shared" si="236"/>
        <v>0</v>
      </c>
      <c r="M220" s="24">
        <v>7.0400000000000003E-3</v>
      </c>
      <c r="N220" s="46">
        <f>H220*220</f>
        <v>1320</v>
      </c>
      <c r="O220" s="5"/>
      <c r="Z220" s="37">
        <f t="shared" si="237"/>
        <v>0</v>
      </c>
      <c r="AB220" s="37">
        <f t="shared" si="238"/>
        <v>0</v>
      </c>
      <c r="AC220" s="37">
        <f t="shared" si="239"/>
        <v>0</v>
      </c>
      <c r="AD220" s="37">
        <f t="shared" si="240"/>
        <v>0</v>
      </c>
      <c r="AE220" s="37">
        <f t="shared" si="241"/>
        <v>0</v>
      </c>
      <c r="AF220" s="37">
        <f t="shared" si="242"/>
        <v>0</v>
      </c>
      <c r="AG220" s="37">
        <f t="shared" si="243"/>
        <v>0</v>
      </c>
      <c r="AH220" s="37">
        <f t="shared" si="244"/>
        <v>0</v>
      </c>
      <c r="AI220" s="35"/>
      <c r="AJ220" s="24">
        <f t="shared" si="245"/>
        <v>0</v>
      </c>
      <c r="AK220" s="24">
        <f t="shared" si="246"/>
        <v>0</v>
      </c>
      <c r="AL220" s="24">
        <f t="shared" si="247"/>
        <v>0</v>
      </c>
      <c r="AN220" s="37">
        <v>21</v>
      </c>
      <c r="AO220" s="37">
        <f>I220*0.486760070052539</f>
        <v>0</v>
      </c>
      <c r="AP220" s="37">
        <f>I220*(1-0.486760070052539)</f>
        <v>0</v>
      </c>
      <c r="AQ220" s="38" t="s">
        <v>13</v>
      </c>
      <c r="AV220" s="37">
        <f t="shared" si="248"/>
        <v>0</v>
      </c>
      <c r="AW220" s="37">
        <f t="shared" si="249"/>
        <v>0</v>
      </c>
      <c r="AX220" s="37">
        <f t="shared" si="250"/>
        <v>0</v>
      </c>
      <c r="AY220" s="40" t="s">
        <v>1214</v>
      </c>
      <c r="AZ220" s="40" t="s">
        <v>1256</v>
      </c>
      <c r="BA220" s="35" t="s">
        <v>1262</v>
      </c>
      <c r="BC220" s="37">
        <f t="shared" si="251"/>
        <v>0</v>
      </c>
      <c r="BD220" s="37">
        <f t="shared" si="252"/>
        <v>0</v>
      </c>
      <c r="BE220" s="37">
        <v>0</v>
      </c>
      <c r="BF220" s="37">
        <f t="shared" si="253"/>
        <v>1320</v>
      </c>
      <c r="BH220" s="24">
        <f t="shared" si="254"/>
        <v>0</v>
      </c>
      <c r="BI220" s="24">
        <f t="shared" si="255"/>
        <v>0</v>
      </c>
      <c r="BJ220" s="24">
        <f t="shared" si="256"/>
        <v>0</v>
      </c>
      <c r="BK220" s="24" t="s">
        <v>1267</v>
      </c>
      <c r="BL220" s="37">
        <v>733</v>
      </c>
    </row>
    <row r="221" spans="1:64" x14ac:dyDescent="0.25">
      <c r="A221" s="4" t="s">
        <v>162</v>
      </c>
      <c r="B221" s="14" t="s">
        <v>498</v>
      </c>
      <c r="C221" s="130" t="s">
        <v>892</v>
      </c>
      <c r="D221" s="131"/>
      <c r="E221" s="131"/>
      <c r="F221" s="131"/>
      <c r="G221" s="14" t="s">
        <v>1165</v>
      </c>
      <c r="H221" s="24">
        <v>1</v>
      </c>
      <c r="I221" s="24">
        <v>0</v>
      </c>
      <c r="J221" s="24">
        <f t="shared" si="234"/>
        <v>0</v>
      </c>
      <c r="K221" s="24">
        <f t="shared" si="235"/>
        <v>0</v>
      </c>
      <c r="L221" s="24">
        <f t="shared" si="236"/>
        <v>0</v>
      </c>
      <c r="M221" s="24">
        <v>6.1799999999999997E-3</v>
      </c>
      <c r="N221" s="46">
        <f>H221*221</f>
        <v>221</v>
      </c>
      <c r="O221" s="5"/>
      <c r="Z221" s="37">
        <f t="shared" si="237"/>
        <v>0</v>
      </c>
      <c r="AB221" s="37">
        <f t="shared" si="238"/>
        <v>0</v>
      </c>
      <c r="AC221" s="37">
        <f t="shared" si="239"/>
        <v>0</v>
      </c>
      <c r="AD221" s="37">
        <f t="shared" si="240"/>
        <v>0</v>
      </c>
      <c r="AE221" s="37">
        <f t="shared" si="241"/>
        <v>0</v>
      </c>
      <c r="AF221" s="37">
        <f t="shared" si="242"/>
        <v>0</v>
      </c>
      <c r="AG221" s="37">
        <f t="shared" si="243"/>
        <v>0</v>
      </c>
      <c r="AH221" s="37">
        <f t="shared" si="244"/>
        <v>0</v>
      </c>
      <c r="AI221" s="35"/>
      <c r="AJ221" s="24">
        <f t="shared" si="245"/>
        <v>0</v>
      </c>
      <c r="AK221" s="24">
        <f t="shared" si="246"/>
        <v>0</v>
      </c>
      <c r="AL221" s="24">
        <f t="shared" si="247"/>
        <v>0</v>
      </c>
      <c r="AN221" s="37">
        <v>21</v>
      </c>
      <c r="AO221" s="37">
        <f>I221*0.447</f>
        <v>0</v>
      </c>
      <c r="AP221" s="37">
        <f>I221*(1-0.447)</f>
        <v>0</v>
      </c>
      <c r="AQ221" s="38" t="s">
        <v>13</v>
      </c>
      <c r="AV221" s="37">
        <f t="shared" si="248"/>
        <v>0</v>
      </c>
      <c r="AW221" s="37">
        <f t="shared" si="249"/>
        <v>0</v>
      </c>
      <c r="AX221" s="37">
        <f t="shared" si="250"/>
        <v>0</v>
      </c>
      <c r="AY221" s="40" t="s">
        <v>1214</v>
      </c>
      <c r="AZ221" s="40" t="s">
        <v>1256</v>
      </c>
      <c r="BA221" s="35" t="s">
        <v>1262</v>
      </c>
      <c r="BC221" s="37">
        <f t="shared" si="251"/>
        <v>0</v>
      </c>
      <c r="BD221" s="37">
        <f t="shared" si="252"/>
        <v>0</v>
      </c>
      <c r="BE221" s="37">
        <v>0</v>
      </c>
      <c r="BF221" s="37">
        <f t="shared" si="253"/>
        <v>221</v>
      </c>
      <c r="BH221" s="24">
        <f t="shared" si="254"/>
        <v>0</v>
      </c>
      <c r="BI221" s="24">
        <f t="shared" si="255"/>
        <v>0</v>
      </c>
      <c r="BJ221" s="24">
        <f t="shared" si="256"/>
        <v>0</v>
      </c>
      <c r="BK221" s="24" t="s">
        <v>1267</v>
      </c>
      <c r="BL221" s="37">
        <v>733</v>
      </c>
    </row>
    <row r="222" spans="1:64" x14ac:dyDescent="0.25">
      <c r="A222" s="4" t="s">
        <v>163</v>
      </c>
      <c r="B222" s="14" t="s">
        <v>499</v>
      </c>
      <c r="C222" s="130" t="s">
        <v>893</v>
      </c>
      <c r="D222" s="131"/>
      <c r="E222" s="131"/>
      <c r="F222" s="131"/>
      <c r="G222" s="14" t="s">
        <v>1165</v>
      </c>
      <c r="H222" s="24">
        <v>6</v>
      </c>
      <c r="I222" s="24">
        <v>0</v>
      </c>
      <c r="J222" s="24">
        <f t="shared" si="234"/>
        <v>0</v>
      </c>
      <c r="K222" s="24">
        <f t="shared" si="235"/>
        <v>0</v>
      </c>
      <c r="L222" s="24">
        <f t="shared" si="236"/>
        <v>0</v>
      </c>
      <c r="M222" s="24">
        <v>5.7600000000000004E-3</v>
      </c>
      <c r="N222" s="46">
        <f>H222*222</f>
        <v>1332</v>
      </c>
      <c r="O222" s="5"/>
      <c r="Z222" s="37">
        <f t="shared" si="237"/>
        <v>0</v>
      </c>
      <c r="AB222" s="37">
        <f t="shared" si="238"/>
        <v>0</v>
      </c>
      <c r="AC222" s="37">
        <f t="shared" si="239"/>
        <v>0</v>
      </c>
      <c r="AD222" s="37">
        <f t="shared" si="240"/>
        <v>0</v>
      </c>
      <c r="AE222" s="37">
        <f t="shared" si="241"/>
        <v>0</v>
      </c>
      <c r="AF222" s="37">
        <f t="shared" si="242"/>
        <v>0</v>
      </c>
      <c r="AG222" s="37">
        <f t="shared" si="243"/>
        <v>0</v>
      </c>
      <c r="AH222" s="37">
        <f t="shared" si="244"/>
        <v>0</v>
      </c>
      <c r="AI222" s="35"/>
      <c r="AJ222" s="24">
        <f t="shared" si="245"/>
        <v>0</v>
      </c>
      <c r="AK222" s="24">
        <f t="shared" si="246"/>
        <v>0</v>
      </c>
      <c r="AL222" s="24">
        <f t="shared" si="247"/>
        <v>0</v>
      </c>
      <c r="AN222" s="37">
        <v>21</v>
      </c>
      <c r="AO222" s="37">
        <f>I222*0.417235576923077</f>
        <v>0</v>
      </c>
      <c r="AP222" s="37">
        <f>I222*(1-0.417235576923077)</f>
        <v>0</v>
      </c>
      <c r="AQ222" s="38" t="s">
        <v>13</v>
      </c>
      <c r="AV222" s="37">
        <f t="shared" si="248"/>
        <v>0</v>
      </c>
      <c r="AW222" s="37">
        <f t="shared" si="249"/>
        <v>0</v>
      </c>
      <c r="AX222" s="37">
        <f t="shared" si="250"/>
        <v>0</v>
      </c>
      <c r="AY222" s="40" t="s">
        <v>1214</v>
      </c>
      <c r="AZ222" s="40" t="s">
        <v>1256</v>
      </c>
      <c r="BA222" s="35" t="s">
        <v>1262</v>
      </c>
      <c r="BC222" s="37">
        <f t="shared" si="251"/>
        <v>0</v>
      </c>
      <c r="BD222" s="37">
        <f t="shared" si="252"/>
        <v>0</v>
      </c>
      <c r="BE222" s="37">
        <v>0</v>
      </c>
      <c r="BF222" s="37">
        <f t="shared" si="253"/>
        <v>1332</v>
      </c>
      <c r="BH222" s="24">
        <f t="shared" si="254"/>
        <v>0</v>
      </c>
      <c r="BI222" s="24">
        <f t="shared" si="255"/>
        <v>0</v>
      </c>
      <c r="BJ222" s="24">
        <f t="shared" si="256"/>
        <v>0</v>
      </c>
      <c r="BK222" s="24" t="s">
        <v>1267</v>
      </c>
      <c r="BL222" s="37">
        <v>733</v>
      </c>
    </row>
    <row r="223" spans="1:64" x14ac:dyDescent="0.25">
      <c r="A223" s="4" t="s">
        <v>164</v>
      </c>
      <c r="B223" s="14" t="s">
        <v>500</v>
      </c>
      <c r="C223" s="130" t="s">
        <v>894</v>
      </c>
      <c r="D223" s="131"/>
      <c r="E223" s="131"/>
      <c r="F223" s="131"/>
      <c r="G223" s="14" t="s">
        <v>1170</v>
      </c>
      <c r="H223" s="24">
        <v>2</v>
      </c>
      <c r="I223" s="24">
        <v>0</v>
      </c>
      <c r="J223" s="24">
        <f t="shared" si="234"/>
        <v>0</v>
      </c>
      <c r="K223" s="24">
        <f t="shared" si="235"/>
        <v>0</v>
      </c>
      <c r="L223" s="24">
        <f t="shared" si="236"/>
        <v>0</v>
      </c>
      <c r="M223" s="24">
        <v>0</v>
      </c>
      <c r="N223" s="46">
        <f>H223*223</f>
        <v>446</v>
      </c>
      <c r="O223" s="5"/>
      <c r="Z223" s="37">
        <f t="shared" si="237"/>
        <v>0</v>
      </c>
      <c r="AB223" s="37">
        <f t="shared" si="238"/>
        <v>0</v>
      </c>
      <c r="AC223" s="37">
        <f t="shared" si="239"/>
        <v>0</v>
      </c>
      <c r="AD223" s="37">
        <f t="shared" si="240"/>
        <v>0</v>
      </c>
      <c r="AE223" s="37">
        <f t="shared" si="241"/>
        <v>0</v>
      </c>
      <c r="AF223" s="37">
        <f t="shared" si="242"/>
        <v>0</v>
      </c>
      <c r="AG223" s="37">
        <f t="shared" si="243"/>
        <v>0</v>
      </c>
      <c r="AH223" s="37">
        <f t="shared" si="244"/>
        <v>0</v>
      </c>
      <c r="AI223" s="35"/>
      <c r="AJ223" s="24">
        <f t="shared" si="245"/>
        <v>0</v>
      </c>
      <c r="AK223" s="24">
        <f t="shared" si="246"/>
        <v>0</v>
      </c>
      <c r="AL223" s="24">
        <f t="shared" si="247"/>
        <v>0</v>
      </c>
      <c r="AN223" s="37">
        <v>21</v>
      </c>
      <c r="AO223" s="37">
        <f>I223*0</f>
        <v>0</v>
      </c>
      <c r="AP223" s="37">
        <f>I223*(1-0)</f>
        <v>0</v>
      </c>
      <c r="AQ223" s="38" t="s">
        <v>13</v>
      </c>
      <c r="AV223" s="37">
        <f t="shared" si="248"/>
        <v>0</v>
      </c>
      <c r="AW223" s="37">
        <f t="shared" si="249"/>
        <v>0</v>
      </c>
      <c r="AX223" s="37">
        <f t="shared" si="250"/>
        <v>0</v>
      </c>
      <c r="AY223" s="40" t="s">
        <v>1214</v>
      </c>
      <c r="AZ223" s="40" t="s">
        <v>1256</v>
      </c>
      <c r="BA223" s="35" t="s">
        <v>1262</v>
      </c>
      <c r="BC223" s="37">
        <f t="shared" si="251"/>
        <v>0</v>
      </c>
      <c r="BD223" s="37">
        <f t="shared" si="252"/>
        <v>0</v>
      </c>
      <c r="BE223" s="37">
        <v>0</v>
      </c>
      <c r="BF223" s="37">
        <f t="shared" si="253"/>
        <v>446</v>
      </c>
      <c r="BH223" s="24">
        <f t="shared" si="254"/>
        <v>0</v>
      </c>
      <c r="BI223" s="24">
        <f t="shared" si="255"/>
        <v>0</v>
      </c>
      <c r="BJ223" s="24">
        <f t="shared" si="256"/>
        <v>0</v>
      </c>
      <c r="BK223" s="24" t="s">
        <v>1267</v>
      </c>
      <c r="BL223" s="37">
        <v>733</v>
      </c>
    </row>
    <row r="224" spans="1:64" x14ac:dyDescent="0.25">
      <c r="A224" s="4" t="s">
        <v>165</v>
      </c>
      <c r="B224" s="14" t="s">
        <v>501</v>
      </c>
      <c r="C224" s="130" t="s">
        <v>895</v>
      </c>
      <c r="D224" s="131"/>
      <c r="E224" s="131"/>
      <c r="F224" s="131"/>
      <c r="G224" s="14" t="s">
        <v>1170</v>
      </c>
      <c r="H224" s="24">
        <v>2</v>
      </c>
      <c r="I224" s="24">
        <v>0</v>
      </c>
      <c r="J224" s="24">
        <f t="shared" si="234"/>
        <v>0</v>
      </c>
      <c r="K224" s="24">
        <f t="shared" si="235"/>
        <v>0</v>
      </c>
      <c r="L224" s="24">
        <f t="shared" si="236"/>
        <v>0</v>
      </c>
      <c r="M224" s="24">
        <v>3.5E-4</v>
      </c>
      <c r="N224" s="46">
        <f>H224*224</f>
        <v>448</v>
      </c>
      <c r="O224" s="5"/>
      <c r="Z224" s="37">
        <f t="shared" si="237"/>
        <v>0</v>
      </c>
      <c r="AB224" s="37">
        <f t="shared" si="238"/>
        <v>0</v>
      </c>
      <c r="AC224" s="37">
        <f t="shared" si="239"/>
        <v>0</v>
      </c>
      <c r="AD224" s="37">
        <f t="shared" si="240"/>
        <v>0</v>
      </c>
      <c r="AE224" s="37">
        <f t="shared" si="241"/>
        <v>0</v>
      </c>
      <c r="AF224" s="37">
        <f t="shared" si="242"/>
        <v>0</v>
      </c>
      <c r="AG224" s="37">
        <f t="shared" si="243"/>
        <v>0</v>
      </c>
      <c r="AH224" s="37">
        <f t="shared" si="244"/>
        <v>0</v>
      </c>
      <c r="AI224" s="35"/>
      <c r="AJ224" s="24">
        <f t="shared" si="245"/>
        <v>0</v>
      </c>
      <c r="AK224" s="24">
        <f t="shared" si="246"/>
        <v>0</v>
      </c>
      <c r="AL224" s="24">
        <f t="shared" si="247"/>
        <v>0</v>
      </c>
      <c r="AN224" s="37">
        <v>21</v>
      </c>
      <c r="AO224" s="37">
        <f>I224*0.321001926782274</f>
        <v>0</v>
      </c>
      <c r="AP224" s="37">
        <f>I224*(1-0.321001926782274)</f>
        <v>0</v>
      </c>
      <c r="AQ224" s="38" t="s">
        <v>13</v>
      </c>
      <c r="AV224" s="37">
        <f t="shared" si="248"/>
        <v>0</v>
      </c>
      <c r="AW224" s="37">
        <f t="shared" si="249"/>
        <v>0</v>
      </c>
      <c r="AX224" s="37">
        <f t="shared" si="250"/>
        <v>0</v>
      </c>
      <c r="AY224" s="40" t="s">
        <v>1214</v>
      </c>
      <c r="AZ224" s="40" t="s">
        <v>1256</v>
      </c>
      <c r="BA224" s="35" t="s">
        <v>1262</v>
      </c>
      <c r="BC224" s="37">
        <f t="shared" si="251"/>
        <v>0</v>
      </c>
      <c r="BD224" s="37">
        <f t="shared" si="252"/>
        <v>0</v>
      </c>
      <c r="BE224" s="37">
        <v>0</v>
      </c>
      <c r="BF224" s="37">
        <f t="shared" si="253"/>
        <v>448</v>
      </c>
      <c r="BH224" s="24">
        <f t="shared" si="254"/>
        <v>0</v>
      </c>
      <c r="BI224" s="24">
        <f t="shared" si="255"/>
        <v>0</v>
      </c>
      <c r="BJ224" s="24">
        <f t="shared" si="256"/>
        <v>0</v>
      </c>
      <c r="BK224" s="24" t="s">
        <v>1267</v>
      </c>
      <c r="BL224" s="37">
        <v>733</v>
      </c>
    </row>
    <row r="225" spans="1:64" x14ac:dyDescent="0.25">
      <c r="A225" s="6"/>
      <c r="B225" s="15" t="s">
        <v>502</v>
      </c>
      <c r="C225" s="132" t="s">
        <v>896</v>
      </c>
      <c r="D225" s="133"/>
      <c r="E225" s="133"/>
      <c r="F225" s="133"/>
      <c r="G225" s="22" t="s">
        <v>6</v>
      </c>
      <c r="H225" s="22" t="s">
        <v>6</v>
      </c>
      <c r="I225" s="22" t="s">
        <v>6</v>
      </c>
      <c r="J225" s="43">
        <f>SUM(J226:J262)</f>
        <v>0</v>
      </c>
      <c r="K225" s="43">
        <f>SUM(K226:K262)</f>
        <v>0</v>
      </c>
      <c r="L225" s="43">
        <f>SUM(L226:L262)</f>
        <v>0</v>
      </c>
      <c r="M225" s="35"/>
      <c r="N225" s="47">
        <f>SUM(N226:N262)</f>
        <v>35680</v>
      </c>
      <c r="O225" s="5"/>
      <c r="AI225" s="35"/>
      <c r="AS225" s="43">
        <f>SUM(AJ226:AJ262)</f>
        <v>0</v>
      </c>
      <c r="AT225" s="43">
        <f>SUM(AK226:AK262)</f>
        <v>0</v>
      </c>
      <c r="AU225" s="43">
        <f>SUM(AL226:AL262)</f>
        <v>0</v>
      </c>
    </row>
    <row r="226" spans="1:64" x14ac:dyDescent="0.25">
      <c r="A226" s="4" t="s">
        <v>166</v>
      </c>
      <c r="B226" s="14" t="s">
        <v>503</v>
      </c>
      <c r="C226" s="130" t="s">
        <v>897</v>
      </c>
      <c r="D226" s="131"/>
      <c r="E226" s="131"/>
      <c r="F226" s="131"/>
      <c r="G226" s="14" t="s">
        <v>1170</v>
      </c>
      <c r="H226" s="24">
        <v>1</v>
      </c>
      <c r="I226" s="24">
        <v>0</v>
      </c>
      <c r="J226" s="24">
        <f t="shared" ref="J226:J262" si="257">H226*AO226</f>
        <v>0</v>
      </c>
      <c r="K226" s="24">
        <f t="shared" ref="K226:K262" si="258">H226*AP226</f>
        <v>0</v>
      </c>
      <c r="L226" s="24">
        <f t="shared" ref="L226:L262" si="259">H226*I226</f>
        <v>0</v>
      </c>
      <c r="M226" s="24">
        <v>2E-3</v>
      </c>
      <c r="N226" s="46">
        <f>H226*226</f>
        <v>226</v>
      </c>
      <c r="O226" s="5"/>
      <c r="Z226" s="37">
        <f t="shared" ref="Z226:Z262" si="260">IF(AQ226="5",BJ226,0)</f>
        <v>0</v>
      </c>
      <c r="AB226" s="37">
        <f t="shared" ref="AB226:AB262" si="261">IF(AQ226="1",BH226,0)</f>
        <v>0</v>
      </c>
      <c r="AC226" s="37">
        <f t="shared" ref="AC226:AC262" si="262">IF(AQ226="1",BI226,0)</f>
        <v>0</v>
      </c>
      <c r="AD226" s="37">
        <f t="shared" ref="AD226:AD262" si="263">IF(AQ226="7",BH226,0)</f>
        <v>0</v>
      </c>
      <c r="AE226" s="37">
        <f t="shared" ref="AE226:AE262" si="264">IF(AQ226="7",BI226,0)</f>
        <v>0</v>
      </c>
      <c r="AF226" s="37">
        <f t="shared" ref="AF226:AF262" si="265">IF(AQ226="2",BH226,0)</f>
        <v>0</v>
      </c>
      <c r="AG226" s="37">
        <f t="shared" ref="AG226:AG262" si="266">IF(AQ226="2",BI226,0)</f>
        <v>0</v>
      </c>
      <c r="AH226" s="37">
        <f t="shared" ref="AH226:AH262" si="267">IF(AQ226="0",BJ226,0)</f>
        <v>0</v>
      </c>
      <c r="AI226" s="35"/>
      <c r="AJ226" s="24">
        <f t="shared" ref="AJ226:AJ262" si="268">IF(AN226=0,L226,0)</f>
        <v>0</v>
      </c>
      <c r="AK226" s="24">
        <f t="shared" ref="AK226:AK262" si="269">IF(AN226=15,L226,0)</f>
        <v>0</v>
      </c>
      <c r="AL226" s="24">
        <f t="shared" ref="AL226:AL262" si="270">IF(AN226=21,L226,0)</f>
        <v>0</v>
      </c>
      <c r="AN226" s="37">
        <v>21</v>
      </c>
      <c r="AO226" s="37">
        <f>I226*0.965045592705167</f>
        <v>0</v>
      </c>
      <c r="AP226" s="37">
        <f>I226*(1-0.965045592705167)</f>
        <v>0</v>
      </c>
      <c r="AQ226" s="38" t="s">
        <v>13</v>
      </c>
      <c r="AV226" s="37">
        <f t="shared" ref="AV226:AV262" si="271">AW226+AX226</f>
        <v>0</v>
      </c>
      <c r="AW226" s="37">
        <f t="shared" ref="AW226:AW262" si="272">H226*AO226</f>
        <v>0</v>
      </c>
      <c r="AX226" s="37">
        <f t="shared" ref="AX226:AX262" si="273">H226*AP226</f>
        <v>0</v>
      </c>
      <c r="AY226" s="40" t="s">
        <v>1215</v>
      </c>
      <c r="AZ226" s="40" t="s">
        <v>1256</v>
      </c>
      <c r="BA226" s="35" t="s">
        <v>1262</v>
      </c>
      <c r="BC226" s="37">
        <f t="shared" ref="BC226:BC262" si="274">AW226+AX226</f>
        <v>0</v>
      </c>
      <c r="BD226" s="37">
        <f t="shared" ref="BD226:BD262" si="275">I226/(100-BE226)*100</f>
        <v>0</v>
      </c>
      <c r="BE226" s="37">
        <v>0</v>
      </c>
      <c r="BF226" s="37">
        <f t="shared" ref="BF226:BF262" si="276">N226</f>
        <v>226</v>
      </c>
      <c r="BH226" s="24">
        <f t="shared" ref="BH226:BH262" si="277">H226*AO226</f>
        <v>0</v>
      </c>
      <c r="BI226" s="24">
        <f t="shared" ref="BI226:BI262" si="278">H226*AP226</f>
        <v>0</v>
      </c>
      <c r="BJ226" s="24">
        <f t="shared" ref="BJ226:BJ262" si="279">H226*I226</f>
        <v>0</v>
      </c>
      <c r="BK226" s="24" t="s">
        <v>1267</v>
      </c>
      <c r="BL226" s="37">
        <v>734</v>
      </c>
    </row>
    <row r="227" spans="1:64" x14ac:dyDescent="0.25">
      <c r="A227" s="4" t="s">
        <v>167</v>
      </c>
      <c r="B227" s="14" t="s">
        <v>504</v>
      </c>
      <c r="C227" s="130" t="s">
        <v>898</v>
      </c>
      <c r="D227" s="131"/>
      <c r="E227" s="131"/>
      <c r="F227" s="131"/>
      <c r="G227" s="14" t="s">
        <v>1170</v>
      </c>
      <c r="H227" s="24">
        <v>1</v>
      </c>
      <c r="I227" s="24">
        <v>0</v>
      </c>
      <c r="J227" s="24">
        <f t="shared" si="257"/>
        <v>0</v>
      </c>
      <c r="K227" s="24">
        <f t="shared" si="258"/>
        <v>0</v>
      </c>
      <c r="L227" s="24">
        <f t="shared" si="259"/>
        <v>0</v>
      </c>
      <c r="M227" s="24">
        <v>2E-3</v>
      </c>
      <c r="N227" s="46">
        <f>H227*227</f>
        <v>227</v>
      </c>
      <c r="O227" s="5"/>
      <c r="Z227" s="37">
        <f t="shared" si="260"/>
        <v>0</v>
      </c>
      <c r="AB227" s="37">
        <f t="shared" si="261"/>
        <v>0</v>
      </c>
      <c r="AC227" s="37">
        <f t="shared" si="262"/>
        <v>0</v>
      </c>
      <c r="AD227" s="37">
        <f t="shared" si="263"/>
        <v>0</v>
      </c>
      <c r="AE227" s="37">
        <f t="shared" si="264"/>
        <v>0</v>
      </c>
      <c r="AF227" s="37">
        <f t="shared" si="265"/>
        <v>0</v>
      </c>
      <c r="AG227" s="37">
        <f t="shared" si="266"/>
        <v>0</v>
      </c>
      <c r="AH227" s="37">
        <f t="shared" si="267"/>
        <v>0</v>
      </c>
      <c r="AI227" s="35"/>
      <c r="AJ227" s="24">
        <f t="shared" si="268"/>
        <v>0</v>
      </c>
      <c r="AK227" s="24">
        <f t="shared" si="269"/>
        <v>0</v>
      </c>
      <c r="AL227" s="24">
        <f t="shared" si="270"/>
        <v>0</v>
      </c>
      <c r="AN227" s="37">
        <v>21</v>
      </c>
      <c r="AO227" s="37">
        <f>I227*0.962172647914646</f>
        <v>0</v>
      </c>
      <c r="AP227" s="37">
        <f>I227*(1-0.962172647914646)</f>
        <v>0</v>
      </c>
      <c r="AQ227" s="38" t="s">
        <v>13</v>
      </c>
      <c r="AV227" s="37">
        <f t="shared" si="271"/>
        <v>0</v>
      </c>
      <c r="AW227" s="37">
        <f t="shared" si="272"/>
        <v>0</v>
      </c>
      <c r="AX227" s="37">
        <f t="shared" si="273"/>
        <v>0</v>
      </c>
      <c r="AY227" s="40" t="s">
        <v>1215</v>
      </c>
      <c r="AZ227" s="40" t="s">
        <v>1256</v>
      </c>
      <c r="BA227" s="35" t="s">
        <v>1262</v>
      </c>
      <c r="BC227" s="37">
        <f t="shared" si="274"/>
        <v>0</v>
      </c>
      <c r="BD227" s="37">
        <f t="shared" si="275"/>
        <v>0</v>
      </c>
      <c r="BE227" s="37">
        <v>0</v>
      </c>
      <c r="BF227" s="37">
        <f t="shared" si="276"/>
        <v>227</v>
      </c>
      <c r="BH227" s="24">
        <f t="shared" si="277"/>
        <v>0</v>
      </c>
      <c r="BI227" s="24">
        <f t="shared" si="278"/>
        <v>0</v>
      </c>
      <c r="BJ227" s="24">
        <f t="shared" si="279"/>
        <v>0</v>
      </c>
      <c r="BK227" s="24" t="s">
        <v>1267</v>
      </c>
      <c r="BL227" s="37">
        <v>734</v>
      </c>
    </row>
    <row r="228" spans="1:64" x14ac:dyDescent="0.25">
      <c r="A228" s="4" t="s">
        <v>168</v>
      </c>
      <c r="B228" s="14" t="s">
        <v>505</v>
      </c>
      <c r="C228" s="130" t="s">
        <v>899</v>
      </c>
      <c r="D228" s="131"/>
      <c r="E228" s="131"/>
      <c r="F228" s="131"/>
      <c r="G228" s="14" t="s">
        <v>1170</v>
      </c>
      <c r="H228" s="24">
        <v>2</v>
      </c>
      <c r="I228" s="24">
        <v>0</v>
      </c>
      <c r="J228" s="24">
        <f t="shared" si="257"/>
        <v>0</v>
      </c>
      <c r="K228" s="24">
        <f t="shared" si="258"/>
        <v>0</v>
      </c>
      <c r="L228" s="24">
        <f t="shared" si="259"/>
        <v>0</v>
      </c>
      <c r="M228" s="24">
        <v>4.0000000000000002E-4</v>
      </c>
      <c r="N228" s="46">
        <f>H228*228</f>
        <v>456</v>
      </c>
      <c r="O228" s="5"/>
      <c r="Z228" s="37">
        <f t="shared" si="260"/>
        <v>0</v>
      </c>
      <c r="AB228" s="37">
        <f t="shared" si="261"/>
        <v>0</v>
      </c>
      <c r="AC228" s="37">
        <f t="shared" si="262"/>
        <v>0</v>
      </c>
      <c r="AD228" s="37">
        <f t="shared" si="263"/>
        <v>0</v>
      </c>
      <c r="AE228" s="37">
        <f t="shared" si="264"/>
        <v>0</v>
      </c>
      <c r="AF228" s="37">
        <f t="shared" si="265"/>
        <v>0</v>
      </c>
      <c r="AG228" s="37">
        <f t="shared" si="266"/>
        <v>0</v>
      </c>
      <c r="AH228" s="37">
        <f t="shared" si="267"/>
        <v>0</v>
      </c>
      <c r="AI228" s="35"/>
      <c r="AJ228" s="24">
        <f t="shared" si="268"/>
        <v>0</v>
      </c>
      <c r="AK228" s="24">
        <f t="shared" si="269"/>
        <v>0</v>
      </c>
      <c r="AL228" s="24">
        <f t="shared" si="270"/>
        <v>0</v>
      </c>
      <c r="AN228" s="37">
        <v>21</v>
      </c>
      <c r="AO228" s="37">
        <f>I228*0.966598245941407</f>
        <v>0</v>
      </c>
      <c r="AP228" s="37">
        <f>I228*(1-0.966598245941407)</f>
        <v>0</v>
      </c>
      <c r="AQ228" s="38" t="s">
        <v>13</v>
      </c>
      <c r="AV228" s="37">
        <f t="shared" si="271"/>
        <v>0</v>
      </c>
      <c r="AW228" s="37">
        <f t="shared" si="272"/>
        <v>0</v>
      </c>
      <c r="AX228" s="37">
        <f t="shared" si="273"/>
        <v>0</v>
      </c>
      <c r="AY228" s="40" t="s">
        <v>1215</v>
      </c>
      <c r="AZ228" s="40" t="s">
        <v>1256</v>
      </c>
      <c r="BA228" s="35" t="s">
        <v>1262</v>
      </c>
      <c r="BC228" s="37">
        <f t="shared" si="274"/>
        <v>0</v>
      </c>
      <c r="BD228" s="37">
        <f t="shared" si="275"/>
        <v>0</v>
      </c>
      <c r="BE228" s="37">
        <v>0</v>
      </c>
      <c r="BF228" s="37">
        <f t="shared" si="276"/>
        <v>456</v>
      </c>
      <c r="BH228" s="24">
        <f t="shared" si="277"/>
        <v>0</v>
      </c>
      <c r="BI228" s="24">
        <f t="shared" si="278"/>
        <v>0</v>
      </c>
      <c r="BJ228" s="24">
        <f t="shared" si="279"/>
        <v>0</v>
      </c>
      <c r="BK228" s="24" t="s">
        <v>1267</v>
      </c>
      <c r="BL228" s="37">
        <v>734</v>
      </c>
    </row>
    <row r="229" spans="1:64" x14ac:dyDescent="0.25">
      <c r="A229" s="4" t="s">
        <v>169</v>
      </c>
      <c r="B229" s="14" t="s">
        <v>506</v>
      </c>
      <c r="C229" s="130" t="s">
        <v>900</v>
      </c>
      <c r="D229" s="131"/>
      <c r="E229" s="131"/>
      <c r="F229" s="131"/>
      <c r="G229" s="14" t="s">
        <v>1170</v>
      </c>
      <c r="H229" s="24">
        <v>1</v>
      </c>
      <c r="I229" s="24">
        <v>0</v>
      </c>
      <c r="J229" s="24">
        <f t="shared" si="257"/>
        <v>0</v>
      </c>
      <c r="K229" s="24">
        <f t="shared" si="258"/>
        <v>0</v>
      </c>
      <c r="L229" s="24">
        <f t="shared" si="259"/>
        <v>0</v>
      </c>
      <c r="M229" s="24">
        <v>1.5E-3</v>
      </c>
      <c r="N229" s="46">
        <f>H229*229</f>
        <v>229</v>
      </c>
      <c r="O229" s="5"/>
      <c r="Z229" s="37">
        <f t="shared" si="260"/>
        <v>0</v>
      </c>
      <c r="AB229" s="37">
        <f t="shared" si="261"/>
        <v>0</v>
      </c>
      <c r="AC229" s="37">
        <f t="shared" si="262"/>
        <v>0</v>
      </c>
      <c r="AD229" s="37">
        <f t="shared" si="263"/>
        <v>0</v>
      </c>
      <c r="AE229" s="37">
        <f t="shared" si="264"/>
        <v>0</v>
      </c>
      <c r="AF229" s="37">
        <f t="shared" si="265"/>
        <v>0</v>
      </c>
      <c r="AG229" s="37">
        <f t="shared" si="266"/>
        <v>0</v>
      </c>
      <c r="AH229" s="37">
        <f t="shared" si="267"/>
        <v>0</v>
      </c>
      <c r="AI229" s="35"/>
      <c r="AJ229" s="24">
        <f t="shared" si="268"/>
        <v>0</v>
      </c>
      <c r="AK229" s="24">
        <f t="shared" si="269"/>
        <v>0</v>
      </c>
      <c r="AL229" s="24">
        <f t="shared" si="270"/>
        <v>0</v>
      </c>
      <c r="AN229" s="37">
        <v>21</v>
      </c>
      <c r="AO229" s="37">
        <f>I229*0.96731280881794</f>
        <v>0</v>
      </c>
      <c r="AP229" s="37">
        <f>I229*(1-0.96731280881794)</f>
        <v>0</v>
      </c>
      <c r="AQ229" s="38" t="s">
        <v>13</v>
      </c>
      <c r="AV229" s="37">
        <f t="shared" si="271"/>
        <v>0</v>
      </c>
      <c r="AW229" s="37">
        <f t="shared" si="272"/>
        <v>0</v>
      </c>
      <c r="AX229" s="37">
        <f t="shared" si="273"/>
        <v>0</v>
      </c>
      <c r="AY229" s="40" t="s">
        <v>1215</v>
      </c>
      <c r="AZ229" s="40" t="s">
        <v>1256</v>
      </c>
      <c r="BA229" s="35" t="s">
        <v>1262</v>
      </c>
      <c r="BC229" s="37">
        <f t="shared" si="274"/>
        <v>0</v>
      </c>
      <c r="BD229" s="37">
        <f t="shared" si="275"/>
        <v>0</v>
      </c>
      <c r="BE229" s="37">
        <v>0</v>
      </c>
      <c r="BF229" s="37">
        <f t="shared" si="276"/>
        <v>229</v>
      </c>
      <c r="BH229" s="24">
        <f t="shared" si="277"/>
        <v>0</v>
      </c>
      <c r="BI229" s="24">
        <f t="shared" si="278"/>
        <v>0</v>
      </c>
      <c r="BJ229" s="24">
        <f t="shared" si="279"/>
        <v>0</v>
      </c>
      <c r="BK229" s="24" t="s">
        <v>1267</v>
      </c>
      <c r="BL229" s="37">
        <v>734</v>
      </c>
    </row>
    <row r="230" spans="1:64" x14ac:dyDescent="0.25">
      <c r="A230" s="4" t="s">
        <v>170</v>
      </c>
      <c r="B230" s="14" t="s">
        <v>507</v>
      </c>
      <c r="C230" s="130" t="s">
        <v>901</v>
      </c>
      <c r="D230" s="131"/>
      <c r="E230" s="131"/>
      <c r="F230" s="131"/>
      <c r="G230" s="14" t="s">
        <v>1170</v>
      </c>
      <c r="H230" s="24">
        <v>1</v>
      </c>
      <c r="I230" s="24">
        <v>0</v>
      </c>
      <c r="J230" s="24">
        <f t="shared" si="257"/>
        <v>0</v>
      </c>
      <c r="K230" s="24">
        <f t="shared" si="258"/>
        <v>0</v>
      </c>
      <c r="L230" s="24">
        <f t="shared" si="259"/>
        <v>0</v>
      </c>
      <c r="M230" s="24">
        <v>6.8300000000000001E-3</v>
      </c>
      <c r="N230" s="46">
        <f>H230*230</f>
        <v>230</v>
      </c>
      <c r="O230" s="5"/>
      <c r="Z230" s="37">
        <f t="shared" si="260"/>
        <v>0</v>
      </c>
      <c r="AB230" s="37">
        <f t="shared" si="261"/>
        <v>0</v>
      </c>
      <c r="AC230" s="37">
        <f t="shared" si="262"/>
        <v>0</v>
      </c>
      <c r="AD230" s="37">
        <f t="shared" si="263"/>
        <v>0</v>
      </c>
      <c r="AE230" s="37">
        <f t="shared" si="264"/>
        <v>0</v>
      </c>
      <c r="AF230" s="37">
        <f t="shared" si="265"/>
        <v>0</v>
      </c>
      <c r="AG230" s="37">
        <f t="shared" si="266"/>
        <v>0</v>
      </c>
      <c r="AH230" s="37">
        <f t="shared" si="267"/>
        <v>0</v>
      </c>
      <c r="AI230" s="35"/>
      <c r="AJ230" s="24">
        <f t="shared" si="268"/>
        <v>0</v>
      </c>
      <c r="AK230" s="24">
        <f t="shared" si="269"/>
        <v>0</v>
      </c>
      <c r="AL230" s="24">
        <f t="shared" si="270"/>
        <v>0</v>
      </c>
      <c r="AN230" s="37">
        <v>21</v>
      </c>
      <c r="AO230" s="37">
        <f>I230*0.829361296472831</f>
        <v>0</v>
      </c>
      <c r="AP230" s="37">
        <f>I230*(1-0.829361296472831)</f>
        <v>0</v>
      </c>
      <c r="AQ230" s="38" t="s">
        <v>13</v>
      </c>
      <c r="AV230" s="37">
        <f t="shared" si="271"/>
        <v>0</v>
      </c>
      <c r="AW230" s="37">
        <f t="shared" si="272"/>
        <v>0</v>
      </c>
      <c r="AX230" s="37">
        <f t="shared" si="273"/>
        <v>0</v>
      </c>
      <c r="AY230" s="40" t="s">
        <v>1215</v>
      </c>
      <c r="AZ230" s="40" t="s">
        <v>1256</v>
      </c>
      <c r="BA230" s="35" t="s">
        <v>1262</v>
      </c>
      <c r="BC230" s="37">
        <f t="shared" si="274"/>
        <v>0</v>
      </c>
      <c r="BD230" s="37">
        <f t="shared" si="275"/>
        <v>0</v>
      </c>
      <c r="BE230" s="37">
        <v>0</v>
      </c>
      <c r="BF230" s="37">
        <f t="shared" si="276"/>
        <v>230</v>
      </c>
      <c r="BH230" s="24">
        <f t="shared" si="277"/>
        <v>0</v>
      </c>
      <c r="BI230" s="24">
        <f t="shared" si="278"/>
        <v>0</v>
      </c>
      <c r="BJ230" s="24">
        <f t="shared" si="279"/>
        <v>0</v>
      </c>
      <c r="BK230" s="24" t="s">
        <v>1267</v>
      </c>
      <c r="BL230" s="37">
        <v>734</v>
      </c>
    </row>
    <row r="231" spans="1:64" x14ac:dyDescent="0.25">
      <c r="A231" s="4" t="s">
        <v>171</v>
      </c>
      <c r="B231" s="14" t="s">
        <v>508</v>
      </c>
      <c r="C231" s="130" t="s">
        <v>902</v>
      </c>
      <c r="D231" s="131"/>
      <c r="E231" s="131"/>
      <c r="F231" s="131"/>
      <c r="G231" s="14" t="s">
        <v>1170</v>
      </c>
      <c r="H231" s="24">
        <v>2</v>
      </c>
      <c r="I231" s="24">
        <v>0</v>
      </c>
      <c r="J231" s="24">
        <f t="shared" si="257"/>
        <v>0</v>
      </c>
      <c r="K231" s="24">
        <f t="shared" si="258"/>
        <v>0</v>
      </c>
      <c r="L231" s="24">
        <f t="shared" si="259"/>
        <v>0</v>
      </c>
      <c r="M231" s="24">
        <v>1.3780000000000001E-2</v>
      </c>
      <c r="N231" s="46">
        <f>H231*231</f>
        <v>462</v>
      </c>
      <c r="O231" s="5"/>
      <c r="Z231" s="37">
        <f t="shared" si="260"/>
        <v>0</v>
      </c>
      <c r="AB231" s="37">
        <f t="shared" si="261"/>
        <v>0</v>
      </c>
      <c r="AC231" s="37">
        <f t="shared" si="262"/>
        <v>0</v>
      </c>
      <c r="AD231" s="37">
        <f t="shared" si="263"/>
        <v>0</v>
      </c>
      <c r="AE231" s="37">
        <f t="shared" si="264"/>
        <v>0</v>
      </c>
      <c r="AF231" s="37">
        <f t="shared" si="265"/>
        <v>0</v>
      </c>
      <c r="AG231" s="37">
        <f t="shared" si="266"/>
        <v>0</v>
      </c>
      <c r="AH231" s="37">
        <f t="shared" si="267"/>
        <v>0</v>
      </c>
      <c r="AI231" s="35"/>
      <c r="AJ231" s="24">
        <f t="shared" si="268"/>
        <v>0</v>
      </c>
      <c r="AK231" s="24">
        <f t="shared" si="269"/>
        <v>0</v>
      </c>
      <c r="AL231" s="24">
        <f t="shared" si="270"/>
        <v>0</v>
      </c>
      <c r="AN231" s="37">
        <v>21</v>
      </c>
      <c r="AO231" s="37">
        <f>I231*0.863670411985019</f>
        <v>0</v>
      </c>
      <c r="AP231" s="37">
        <f>I231*(1-0.863670411985019)</f>
        <v>0</v>
      </c>
      <c r="AQ231" s="38" t="s">
        <v>13</v>
      </c>
      <c r="AV231" s="37">
        <f t="shared" si="271"/>
        <v>0</v>
      </c>
      <c r="AW231" s="37">
        <f t="shared" si="272"/>
        <v>0</v>
      </c>
      <c r="AX231" s="37">
        <f t="shared" si="273"/>
        <v>0</v>
      </c>
      <c r="AY231" s="40" t="s">
        <v>1215</v>
      </c>
      <c r="AZ231" s="40" t="s">
        <v>1256</v>
      </c>
      <c r="BA231" s="35" t="s">
        <v>1262</v>
      </c>
      <c r="BC231" s="37">
        <f t="shared" si="274"/>
        <v>0</v>
      </c>
      <c r="BD231" s="37">
        <f t="shared" si="275"/>
        <v>0</v>
      </c>
      <c r="BE231" s="37">
        <v>0</v>
      </c>
      <c r="BF231" s="37">
        <f t="shared" si="276"/>
        <v>462</v>
      </c>
      <c r="BH231" s="24">
        <f t="shared" si="277"/>
        <v>0</v>
      </c>
      <c r="BI231" s="24">
        <f t="shared" si="278"/>
        <v>0</v>
      </c>
      <c r="BJ231" s="24">
        <f t="shared" si="279"/>
        <v>0</v>
      </c>
      <c r="BK231" s="24" t="s">
        <v>1267</v>
      </c>
      <c r="BL231" s="37">
        <v>734</v>
      </c>
    </row>
    <row r="232" spans="1:64" x14ac:dyDescent="0.25">
      <c r="A232" s="4" t="s">
        <v>172</v>
      </c>
      <c r="B232" s="14" t="s">
        <v>509</v>
      </c>
      <c r="C232" s="130" t="s">
        <v>903</v>
      </c>
      <c r="D232" s="131"/>
      <c r="E232" s="131"/>
      <c r="F232" s="131"/>
      <c r="G232" s="14" t="s">
        <v>1170</v>
      </c>
      <c r="H232" s="24">
        <v>12</v>
      </c>
      <c r="I232" s="24">
        <v>0</v>
      </c>
      <c r="J232" s="24">
        <f t="shared" si="257"/>
        <v>0</v>
      </c>
      <c r="K232" s="24">
        <f t="shared" si="258"/>
        <v>0</v>
      </c>
      <c r="L232" s="24">
        <f t="shared" si="259"/>
        <v>0</v>
      </c>
      <c r="M232" s="24">
        <v>1.2999999999999999E-3</v>
      </c>
      <c r="N232" s="46">
        <f>H232*232</f>
        <v>2784</v>
      </c>
      <c r="O232" s="5"/>
      <c r="Z232" s="37">
        <f t="shared" si="260"/>
        <v>0</v>
      </c>
      <c r="AB232" s="37">
        <f t="shared" si="261"/>
        <v>0</v>
      </c>
      <c r="AC232" s="37">
        <f t="shared" si="262"/>
        <v>0</v>
      </c>
      <c r="AD232" s="37">
        <f t="shared" si="263"/>
        <v>0</v>
      </c>
      <c r="AE232" s="37">
        <f t="shared" si="264"/>
        <v>0</v>
      </c>
      <c r="AF232" s="37">
        <f t="shared" si="265"/>
        <v>0</v>
      </c>
      <c r="AG232" s="37">
        <f t="shared" si="266"/>
        <v>0</v>
      </c>
      <c r="AH232" s="37">
        <f t="shared" si="267"/>
        <v>0</v>
      </c>
      <c r="AI232" s="35"/>
      <c r="AJ232" s="24">
        <f t="shared" si="268"/>
        <v>0</v>
      </c>
      <c r="AK232" s="24">
        <f t="shared" si="269"/>
        <v>0</v>
      </c>
      <c r="AL232" s="24">
        <f t="shared" si="270"/>
        <v>0</v>
      </c>
      <c r="AN232" s="37">
        <v>21</v>
      </c>
      <c r="AO232" s="37">
        <f>I232*0.79931455399061</f>
        <v>0</v>
      </c>
      <c r="AP232" s="37">
        <f>I232*(1-0.79931455399061)</f>
        <v>0</v>
      </c>
      <c r="AQ232" s="38" t="s">
        <v>13</v>
      </c>
      <c r="AV232" s="37">
        <f t="shared" si="271"/>
        <v>0</v>
      </c>
      <c r="AW232" s="37">
        <f t="shared" si="272"/>
        <v>0</v>
      </c>
      <c r="AX232" s="37">
        <f t="shared" si="273"/>
        <v>0</v>
      </c>
      <c r="AY232" s="40" t="s">
        <v>1215</v>
      </c>
      <c r="AZ232" s="40" t="s">
        <v>1256</v>
      </c>
      <c r="BA232" s="35" t="s">
        <v>1262</v>
      </c>
      <c r="BC232" s="37">
        <f t="shared" si="274"/>
        <v>0</v>
      </c>
      <c r="BD232" s="37">
        <f t="shared" si="275"/>
        <v>0</v>
      </c>
      <c r="BE232" s="37">
        <v>0</v>
      </c>
      <c r="BF232" s="37">
        <f t="shared" si="276"/>
        <v>2784</v>
      </c>
      <c r="BH232" s="24">
        <f t="shared" si="277"/>
        <v>0</v>
      </c>
      <c r="BI232" s="24">
        <f t="shared" si="278"/>
        <v>0</v>
      </c>
      <c r="BJ232" s="24">
        <f t="shared" si="279"/>
        <v>0</v>
      </c>
      <c r="BK232" s="24" t="s">
        <v>1267</v>
      </c>
      <c r="BL232" s="37">
        <v>734</v>
      </c>
    </row>
    <row r="233" spans="1:64" x14ac:dyDescent="0.25">
      <c r="A233" s="4" t="s">
        <v>173</v>
      </c>
      <c r="B233" s="14" t="s">
        <v>510</v>
      </c>
      <c r="C233" s="130" t="s">
        <v>904</v>
      </c>
      <c r="D233" s="131"/>
      <c r="E233" s="131"/>
      <c r="F233" s="131"/>
      <c r="G233" s="14" t="s">
        <v>1170</v>
      </c>
      <c r="H233" s="24">
        <v>4</v>
      </c>
      <c r="I233" s="24">
        <v>0</v>
      </c>
      <c r="J233" s="24">
        <f t="shared" si="257"/>
        <v>0</v>
      </c>
      <c r="K233" s="24">
        <f t="shared" si="258"/>
        <v>0</v>
      </c>
      <c r="L233" s="24">
        <f t="shared" si="259"/>
        <v>0</v>
      </c>
      <c r="M233" s="24">
        <v>8.0999999999999996E-4</v>
      </c>
      <c r="N233" s="46">
        <f>H233*233</f>
        <v>932</v>
      </c>
      <c r="O233" s="5"/>
      <c r="Z233" s="37">
        <f t="shared" si="260"/>
        <v>0</v>
      </c>
      <c r="AB233" s="37">
        <f t="shared" si="261"/>
        <v>0</v>
      </c>
      <c r="AC233" s="37">
        <f t="shared" si="262"/>
        <v>0</v>
      </c>
      <c r="AD233" s="37">
        <f t="shared" si="263"/>
        <v>0</v>
      </c>
      <c r="AE233" s="37">
        <f t="shared" si="264"/>
        <v>0</v>
      </c>
      <c r="AF233" s="37">
        <f t="shared" si="265"/>
        <v>0</v>
      </c>
      <c r="AG233" s="37">
        <f t="shared" si="266"/>
        <v>0</v>
      </c>
      <c r="AH233" s="37">
        <f t="shared" si="267"/>
        <v>0</v>
      </c>
      <c r="AI233" s="35"/>
      <c r="AJ233" s="24">
        <f t="shared" si="268"/>
        <v>0</v>
      </c>
      <c r="AK233" s="24">
        <f t="shared" si="269"/>
        <v>0</v>
      </c>
      <c r="AL233" s="24">
        <f t="shared" si="270"/>
        <v>0</v>
      </c>
      <c r="AN233" s="37">
        <v>21</v>
      </c>
      <c r="AO233" s="37">
        <f>I233*0.731502276176024</f>
        <v>0</v>
      </c>
      <c r="AP233" s="37">
        <f>I233*(1-0.731502276176024)</f>
        <v>0</v>
      </c>
      <c r="AQ233" s="38" t="s">
        <v>13</v>
      </c>
      <c r="AV233" s="37">
        <f t="shared" si="271"/>
        <v>0</v>
      </c>
      <c r="AW233" s="37">
        <f t="shared" si="272"/>
        <v>0</v>
      </c>
      <c r="AX233" s="37">
        <f t="shared" si="273"/>
        <v>0</v>
      </c>
      <c r="AY233" s="40" t="s">
        <v>1215</v>
      </c>
      <c r="AZ233" s="40" t="s">
        <v>1256</v>
      </c>
      <c r="BA233" s="35" t="s">
        <v>1262</v>
      </c>
      <c r="BC233" s="37">
        <f t="shared" si="274"/>
        <v>0</v>
      </c>
      <c r="BD233" s="37">
        <f t="shared" si="275"/>
        <v>0</v>
      </c>
      <c r="BE233" s="37">
        <v>0</v>
      </c>
      <c r="BF233" s="37">
        <f t="shared" si="276"/>
        <v>932</v>
      </c>
      <c r="BH233" s="24">
        <f t="shared" si="277"/>
        <v>0</v>
      </c>
      <c r="BI233" s="24">
        <f t="shared" si="278"/>
        <v>0</v>
      </c>
      <c r="BJ233" s="24">
        <f t="shared" si="279"/>
        <v>0</v>
      </c>
      <c r="BK233" s="24" t="s">
        <v>1267</v>
      </c>
      <c r="BL233" s="37">
        <v>734</v>
      </c>
    </row>
    <row r="234" spans="1:64" x14ac:dyDescent="0.25">
      <c r="A234" s="4" t="s">
        <v>174</v>
      </c>
      <c r="B234" s="14" t="s">
        <v>511</v>
      </c>
      <c r="C234" s="130" t="s">
        <v>905</v>
      </c>
      <c r="D234" s="131"/>
      <c r="E234" s="131"/>
      <c r="F234" s="131"/>
      <c r="G234" s="14" t="s">
        <v>1170</v>
      </c>
      <c r="H234" s="24">
        <v>2</v>
      </c>
      <c r="I234" s="24">
        <v>0</v>
      </c>
      <c r="J234" s="24">
        <f t="shared" si="257"/>
        <v>0</v>
      </c>
      <c r="K234" s="24">
        <f t="shared" si="258"/>
        <v>0</v>
      </c>
      <c r="L234" s="24">
        <f t="shared" si="259"/>
        <v>0</v>
      </c>
      <c r="M234" s="24">
        <v>5.0000000000000001E-4</v>
      </c>
      <c r="N234" s="46">
        <f>H234*234</f>
        <v>468</v>
      </c>
      <c r="O234" s="5"/>
      <c r="Z234" s="37">
        <f t="shared" si="260"/>
        <v>0</v>
      </c>
      <c r="AB234" s="37">
        <f t="shared" si="261"/>
        <v>0</v>
      </c>
      <c r="AC234" s="37">
        <f t="shared" si="262"/>
        <v>0</v>
      </c>
      <c r="AD234" s="37">
        <f t="shared" si="263"/>
        <v>0</v>
      </c>
      <c r="AE234" s="37">
        <f t="shared" si="264"/>
        <v>0</v>
      </c>
      <c r="AF234" s="37">
        <f t="shared" si="265"/>
        <v>0</v>
      </c>
      <c r="AG234" s="37">
        <f t="shared" si="266"/>
        <v>0</v>
      </c>
      <c r="AH234" s="37">
        <f t="shared" si="267"/>
        <v>0</v>
      </c>
      <c r="AI234" s="35"/>
      <c r="AJ234" s="24">
        <f t="shared" si="268"/>
        <v>0</v>
      </c>
      <c r="AK234" s="24">
        <f t="shared" si="269"/>
        <v>0</v>
      </c>
      <c r="AL234" s="24">
        <f t="shared" si="270"/>
        <v>0</v>
      </c>
      <c r="AN234" s="37">
        <v>21</v>
      </c>
      <c r="AO234" s="37">
        <f>I234*0.687917146144994</f>
        <v>0</v>
      </c>
      <c r="AP234" s="37">
        <f>I234*(1-0.687917146144994)</f>
        <v>0</v>
      </c>
      <c r="AQ234" s="38" t="s">
        <v>13</v>
      </c>
      <c r="AV234" s="37">
        <f t="shared" si="271"/>
        <v>0</v>
      </c>
      <c r="AW234" s="37">
        <f t="shared" si="272"/>
        <v>0</v>
      </c>
      <c r="AX234" s="37">
        <f t="shared" si="273"/>
        <v>0</v>
      </c>
      <c r="AY234" s="40" t="s">
        <v>1215</v>
      </c>
      <c r="AZ234" s="40" t="s">
        <v>1256</v>
      </c>
      <c r="BA234" s="35" t="s">
        <v>1262</v>
      </c>
      <c r="BC234" s="37">
        <f t="shared" si="274"/>
        <v>0</v>
      </c>
      <c r="BD234" s="37">
        <f t="shared" si="275"/>
        <v>0</v>
      </c>
      <c r="BE234" s="37">
        <v>0</v>
      </c>
      <c r="BF234" s="37">
        <f t="shared" si="276"/>
        <v>468</v>
      </c>
      <c r="BH234" s="24">
        <f t="shared" si="277"/>
        <v>0</v>
      </c>
      <c r="BI234" s="24">
        <f t="shared" si="278"/>
        <v>0</v>
      </c>
      <c r="BJ234" s="24">
        <f t="shared" si="279"/>
        <v>0</v>
      </c>
      <c r="BK234" s="24" t="s">
        <v>1267</v>
      </c>
      <c r="BL234" s="37">
        <v>734</v>
      </c>
    </row>
    <row r="235" spans="1:64" x14ac:dyDescent="0.25">
      <c r="A235" s="4" t="s">
        <v>175</v>
      </c>
      <c r="B235" s="14" t="s">
        <v>512</v>
      </c>
      <c r="C235" s="130" t="s">
        <v>906</v>
      </c>
      <c r="D235" s="131"/>
      <c r="E235" s="131"/>
      <c r="F235" s="131"/>
      <c r="G235" s="14" t="s">
        <v>1170</v>
      </c>
      <c r="H235" s="24">
        <v>1</v>
      </c>
      <c r="I235" s="24">
        <v>0</v>
      </c>
      <c r="J235" s="24">
        <f t="shared" si="257"/>
        <v>0</v>
      </c>
      <c r="K235" s="24">
        <f t="shared" si="258"/>
        <v>0</v>
      </c>
      <c r="L235" s="24">
        <f t="shared" si="259"/>
        <v>0</v>
      </c>
      <c r="M235" s="24">
        <v>2.2000000000000001E-4</v>
      </c>
      <c r="N235" s="46">
        <f>H235*235</f>
        <v>235</v>
      </c>
      <c r="O235" s="5"/>
      <c r="Z235" s="37">
        <f t="shared" si="260"/>
        <v>0</v>
      </c>
      <c r="AB235" s="37">
        <f t="shared" si="261"/>
        <v>0</v>
      </c>
      <c r="AC235" s="37">
        <f t="shared" si="262"/>
        <v>0</v>
      </c>
      <c r="AD235" s="37">
        <f t="shared" si="263"/>
        <v>0</v>
      </c>
      <c r="AE235" s="37">
        <f t="shared" si="264"/>
        <v>0</v>
      </c>
      <c r="AF235" s="37">
        <f t="shared" si="265"/>
        <v>0</v>
      </c>
      <c r="AG235" s="37">
        <f t="shared" si="266"/>
        <v>0</v>
      </c>
      <c r="AH235" s="37">
        <f t="shared" si="267"/>
        <v>0</v>
      </c>
      <c r="AI235" s="35"/>
      <c r="AJ235" s="24">
        <f t="shared" si="268"/>
        <v>0</v>
      </c>
      <c r="AK235" s="24">
        <f t="shared" si="269"/>
        <v>0</v>
      </c>
      <c r="AL235" s="24">
        <f t="shared" si="270"/>
        <v>0</v>
      </c>
      <c r="AN235" s="37">
        <v>21</v>
      </c>
      <c r="AO235" s="37">
        <f>I235*0.536017699115044</f>
        <v>0</v>
      </c>
      <c r="AP235" s="37">
        <f>I235*(1-0.536017699115044)</f>
        <v>0</v>
      </c>
      <c r="AQ235" s="38" t="s">
        <v>13</v>
      </c>
      <c r="AV235" s="37">
        <f t="shared" si="271"/>
        <v>0</v>
      </c>
      <c r="AW235" s="37">
        <f t="shared" si="272"/>
        <v>0</v>
      </c>
      <c r="AX235" s="37">
        <f t="shared" si="273"/>
        <v>0</v>
      </c>
      <c r="AY235" s="40" t="s">
        <v>1215</v>
      </c>
      <c r="AZ235" s="40" t="s">
        <v>1256</v>
      </c>
      <c r="BA235" s="35" t="s">
        <v>1262</v>
      </c>
      <c r="BC235" s="37">
        <f t="shared" si="274"/>
        <v>0</v>
      </c>
      <c r="BD235" s="37">
        <f t="shared" si="275"/>
        <v>0</v>
      </c>
      <c r="BE235" s="37">
        <v>0</v>
      </c>
      <c r="BF235" s="37">
        <f t="shared" si="276"/>
        <v>235</v>
      </c>
      <c r="BH235" s="24">
        <f t="shared" si="277"/>
        <v>0</v>
      </c>
      <c r="BI235" s="24">
        <f t="shared" si="278"/>
        <v>0</v>
      </c>
      <c r="BJ235" s="24">
        <f t="shared" si="279"/>
        <v>0</v>
      </c>
      <c r="BK235" s="24" t="s">
        <v>1267</v>
      </c>
      <c r="BL235" s="37">
        <v>734</v>
      </c>
    </row>
    <row r="236" spans="1:64" x14ac:dyDescent="0.25">
      <c r="A236" s="4" t="s">
        <v>176</v>
      </c>
      <c r="B236" s="14" t="s">
        <v>513</v>
      </c>
      <c r="C236" s="130" t="s">
        <v>907</v>
      </c>
      <c r="D236" s="131"/>
      <c r="E236" s="131"/>
      <c r="F236" s="131"/>
      <c r="G236" s="14" t="s">
        <v>1170</v>
      </c>
      <c r="H236" s="24">
        <v>5</v>
      </c>
      <c r="I236" s="24">
        <v>0</v>
      </c>
      <c r="J236" s="24">
        <f t="shared" si="257"/>
        <v>0</v>
      </c>
      <c r="K236" s="24">
        <f t="shared" si="258"/>
        <v>0</v>
      </c>
      <c r="L236" s="24">
        <f t="shared" si="259"/>
        <v>0</v>
      </c>
      <c r="M236" s="24">
        <v>1.6000000000000001E-4</v>
      </c>
      <c r="N236" s="46">
        <f>H236*236</f>
        <v>1180</v>
      </c>
      <c r="O236" s="5"/>
      <c r="Z236" s="37">
        <f t="shared" si="260"/>
        <v>0</v>
      </c>
      <c r="AB236" s="37">
        <f t="shared" si="261"/>
        <v>0</v>
      </c>
      <c r="AC236" s="37">
        <f t="shared" si="262"/>
        <v>0</v>
      </c>
      <c r="AD236" s="37">
        <f t="shared" si="263"/>
        <v>0</v>
      </c>
      <c r="AE236" s="37">
        <f t="shared" si="264"/>
        <v>0</v>
      </c>
      <c r="AF236" s="37">
        <f t="shared" si="265"/>
        <v>0</v>
      </c>
      <c r="AG236" s="37">
        <f t="shared" si="266"/>
        <v>0</v>
      </c>
      <c r="AH236" s="37">
        <f t="shared" si="267"/>
        <v>0</v>
      </c>
      <c r="AI236" s="35"/>
      <c r="AJ236" s="24">
        <f t="shared" si="268"/>
        <v>0</v>
      </c>
      <c r="AK236" s="24">
        <f t="shared" si="269"/>
        <v>0</v>
      </c>
      <c r="AL236" s="24">
        <f t="shared" si="270"/>
        <v>0</v>
      </c>
      <c r="AN236" s="37">
        <v>21</v>
      </c>
      <c r="AO236" s="37">
        <f>I236*0.509563164108619</f>
        <v>0</v>
      </c>
      <c r="AP236" s="37">
        <f>I236*(1-0.509563164108619)</f>
        <v>0</v>
      </c>
      <c r="AQ236" s="38" t="s">
        <v>13</v>
      </c>
      <c r="AV236" s="37">
        <f t="shared" si="271"/>
        <v>0</v>
      </c>
      <c r="AW236" s="37">
        <f t="shared" si="272"/>
        <v>0</v>
      </c>
      <c r="AX236" s="37">
        <f t="shared" si="273"/>
        <v>0</v>
      </c>
      <c r="AY236" s="40" t="s">
        <v>1215</v>
      </c>
      <c r="AZ236" s="40" t="s">
        <v>1256</v>
      </c>
      <c r="BA236" s="35" t="s">
        <v>1262</v>
      </c>
      <c r="BC236" s="37">
        <f t="shared" si="274"/>
        <v>0</v>
      </c>
      <c r="BD236" s="37">
        <f t="shared" si="275"/>
        <v>0</v>
      </c>
      <c r="BE236" s="37">
        <v>0</v>
      </c>
      <c r="BF236" s="37">
        <f t="shared" si="276"/>
        <v>1180</v>
      </c>
      <c r="BH236" s="24">
        <f t="shared" si="277"/>
        <v>0</v>
      </c>
      <c r="BI236" s="24">
        <f t="shared" si="278"/>
        <v>0</v>
      </c>
      <c r="BJ236" s="24">
        <f t="shared" si="279"/>
        <v>0</v>
      </c>
      <c r="BK236" s="24" t="s">
        <v>1267</v>
      </c>
      <c r="BL236" s="37">
        <v>734</v>
      </c>
    </row>
    <row r="237" spans="1:64" x14ac:dyDescent="0.25">
      <c r="A237" s="4" t="s">
        <v>177</v>
      </c>
      <c r="B237" s="14" t="s">
        <v>514</v>
      </c>
      <c r="C237" s="130" t="s">
        <v>908</v>
      </c>
      <c r="D237" s="131"/>
      <c r="E237" s="131"/>
      <c r="F237" s="131"/>
      <c r="G237" s="14" t="s">
        <v>1170</v>
      </c>
      <c r="H237" s="24">
        <v>2</v>
      </c>
      <c r="I237" s="24">
        <v>0</v>
      </c>
      <c r="J237" s="24">
        <f t="shared" si="257"/>
        <v>0</v>
      </c>
      <c r="K237" s="24">
        <f t="shared" si="258"/>
        <v>0</v>
      </c>
      <c r="L237" s="24">
        <f t="shared" si="259"/>
        <v>0</v>
      </c>
      <c r="M237" s="24">
        <v>4.8999999999999998E-4</v>
      </c>
      <c r="N237" s="46">
        <f>H237*237</f>
        <v>474</v>
      </c>
      <c r="O237" s="5"/>
      <c r="Z237" s="37">
        <f t="shared" si="260"/>
        <v>0</v>
      </c>
      <c r="AB237" s="37">
        <f t="shared" si="261"/>
        <v>0</v>
      </c>
      <c r="AC237" s="37">
        <f t="shared" si="262"/>
        <v>0</v>
      </c>
      <c r="AD237" s="37">
        <f t="shared" si="263"/>
        <v>0</v>
      </c>
      <c r="AE237" s="37">
        <f t="shared" si="264"/>
        <v>0</v>
      </c>
      <c r="AF237" s="37">
        <f t="shared" si="265"/>
        <v>0</v>
      </c>
      <c r="AG237" s="37">
        <f t="shared" si="266"/>
        <v>0</v>
      </c>
      <c r="AH237" s="37">
        <f t="shared" si="267"/>
        <v>0</v>
      </c>
      <c r="AI237" s="35"/>
      <c r="AJ237" s="24">
        <f t="shared" si="268"/>
        <v>0</v>
      </c>
      <c r="AK237" s="24">
        <f t="shared" si="269"/>
        <v>0</v>
      </c>
      <c r="AL237" s="24">
        <f t="shared" si="270"/>
        <v>0</v>
      </c>
      <c r="AN237" s="37">
        <v>21</v>
      </c>
      <c r="AO237" s="37">
        <f>I237*0.731676436107855</f>
        <v>0</v>
      </c>
      <c r="AP237" s="37">
        <f>I237*(1-0.731676436107855)</f>
        <v>0</v>
      </c>
      <c r="AQ237" s="38" t="s">
        <v>13</v>
      </c>
      <c r="AV237" s="37">
        <f t="shared" si="271"/>
        <v>0</v>
      </c>
      <c r="AW237" s="37">
        <f t="shared" si="272"/>
        <v>0</v>
      </c>
      <c r="AX237" s="37">
        <f t="shared" si="273"/>
        <v>0</v>
      </c>
      <c r="AY237" s="40" t="s">
        <v>1215</v>
      </c>
      <c r="AZ237" s="40" t="s">
        <v>1256</v>
      </c>
      <c r="BA237" s="35" t="s">
        <v>1262</v>
      </c>
      <c r="BC237" s="37">
        <f t="shared" si="274"/>
        <v>0</v>
      </c>
      <c r="BD237" s="37">
        <f t="shared" si="275"/>
        <v>0</v>
      </c>
      <c r="BE237" s="37">
        <v>0</v>
      </c>
      <c r="BF237" s="37">
        <f t="shared" si="276"/>
        <v>474</v>
      </c>
      <c r="BH237" s="24">
        <f t="shared" si="277"/>
        <v>0</v>
      </c>
      <c r="BI237" s="24">
        <f t="shared" si="278"/>
        <v>0</v>
      </c>
      <c r="BJ237" s="24">
        <f t="shared" si="279"/>
        <v>0</v>
      </c>
      <c r="BK237" s="24" t="s">
        <v>1267</v>
      </c>
      <c r="BL237" s="37">
        <v>734</v>
      </c>
    </row>
    <row r="238" spans="1:64" x14ac:dyDescent="0.25">
      <c r="A238" s="4" t="s">
        <v>178</v>
      </c>
      <c r="B238" s="14" t="s">
        <v>515</v>
      </c>
      <c r="C238" s="130" t="s">
        <v>909</v>
      </c>
      <c r="D238" s="131"/>
      <c r="E238" s="131"/>
      <c r="F238" s="131"/>
      <c r="G238" s="14" t="s">
        <v>1170</v>
      </c>
      <c r="H238" s="24">
        <v>3</v>
      </c>
      <c r="I238" s="24">
        <v>0</v>
      </c>
      <c r="J238" s="24">
        <f t="shared" si="257"/>
        <v>0</v>
      </c>
      <c r="K238" s="24">
        <f t="shared" si="258"/>
        <v>0</v>
      </c>
      <c r="L238" s="24">
        <f t="shared" si="259"/>
        <v>0</v>
      </c>
      <c r="M238" s="24">
        <v>3.4000000000000002E-4</v>
      </c>
      <c r="N238" s="46">
        <f>H238*238</f>
        <v>714</v>
      </c>
      <c r="O238" s="5"/>
      <c r="Z238" s="37">
        <f t="shared" si="260"/>
        <v>0</v>
      </c>
      <c r="AB238" s="37">
        <f t="shared" si="261"/>
        <v>0</v>
      </c>
      <c r="AC238" s="37">
        <f t="shared" si="262"/>
        <v>0</v>
      </c>
      <c r="AD238" s="37">
        <f t="shared" si="263"/>
        <v>0</v>
      </c>
      <c r="AE238" s="37">
        <f t="shared" si="264"/>
        <v>0</v>
      </c>
      <c r="AF238" s="37">
        <f t="shared" si="265"/>
        <v>0</v>
      </c>
      <c r="AG238" s="37">
        <f t="shared" si="266"/>
        <v>0</v>
      </c>
      <c r="AH238" s="37">
        <f t="shared" si="267"/>
        <v>0</v>
      </c>
      <c r="AI238" s="35"/>
      <c r="AJ238" s="24">
        <f t="shared" si="268"/>
        <v>0</v>
      </c>
      <c r="AK238" s="24">
        <f t="shared" si="269"/>
        <v>0</v>
      </c>
      <c r="AL238" s="24">
        <f t="shared" si="270"/>
        <v>0</v>
      </c>
      <c r="AN238" s="37">
        <v>21</v>
      </c>
      <c r="AO238" s="37">
        <f>I238*0.669915789473684</f>
        <v>0</v>
      </c>
      <c r="AP238" s="37">
        <f>I238*(1-0.669915789473684)</f>
        <v>0</v>
      </c>
      <c r="AQ238" s="38" t="s">
        <v>13</v>
      </c>
      <c r="AV238" s="37">
        <f t="shared" si="271"/>
        <v>0</v>
      </c>
      <c r="AW238" s="37">
        <f t="shared" si="272"/>
        <v>0</v>
      </c>
      <c r="AX238" s="37">
        <f t="shared" si="273"/>
        <v>0</v>
      </c>
      <c r="AY238" s="40" t="s">
        <v>1215</v>
      </c>
      <c r="AZ238" s="40" t="s">
        <v>1256</v>
      </c>
      <c r="BA238" s="35" t="s">
        <v>1262</v>
      </c>
      <c r="BC238" s="37">
        <f t="shared" si="274"/>
        <v>0</v>
      </c>
      <c r="BD238" s="37">
        <f t="shared" si="275"/>
        <v>0</v>
      </c>
      <c r="BE238" s="37">
        <v>0</v>
      </c>
      <c r="BF238" s="37">
        <f t="shared" si="276"/>
        <v>714</v>
      </c>
      <c r="BH238" s="24">
        <f t="shared" si="277"/>
        <v>0</v>
      </c>
      <c r="BI238" s="24">
        <f t="shared" si="278"/>
        <v>0</v>
      </c>
      <c r="BJ238" s="24">
        <f t="shared" si="279"/>
        <v>0</v>
      </c>
      <c r="BK238" s="24" t="s">
        <v>1267</v>
      </c>
      <c r="BL238" s="37">
        <v>734</v>
      </c>
    </row>
    <row r="239" spans="1:64" x14ac:dyDescent="0.25">
      <c r="A239" s="4" t="s">
        <v>179</v>
      </c>
      <c r="B239" s="14" t="s">
        <v>516</v>
      </c>
      <c r="C239" s="130" t="s">
        <v>910</v>
      </c>
      <c r="D239" s="131"/>
      <c r="E239" s="131"/>
      <c r="F239" s="131"/>
      <c r="G239" s="14" t="s">
        <v>1170</v>
      </c>
      <c r="H239" s="24">
        <v>3</v>
      </c>
      <c r="I239" s="24">
        <v>0</v>
      </c>
      <c r="J239" s="24">
        <f t="shared" si="257"/>
        <v>0</v>
      </c>
      <c r="K239" s="24">
        <f t="shared" si="258"/>
        <v>0</v>
      </c>
      <c r="L239" s="24">
        <f t="shared" si="259"/>
        <v>0</v>
      </c>
      <c r="M239" s="24">
        <v>2.4000000000000001E-4</v>
      </c>
      <c r="N239" s="46">
        <f>H239*239</f>
        <v>717</v>
      </c>
      <c r="O239" s="5"/>
      <c r="Z239" s="37">
        <f t="shared" si="260"/>
        <v>0</v>
      </c>
      <c r="AB239" s="37">
        <f t="shared" si="261"/>
        <v>0</v>
      </c>
      <c r="AC239" s="37">
        <f t="shared" si="262"/>
        <v>0</v>
      </c>
      <c r="AD239" s="37">
        <f t="shared" si="263"/>
        <v>0</v>
      </c>
      <c r="AE239" s="37">
        <f t="shared" si="264"/>
        <v>0</v>
      </c>
      <c r="AF239" s="37">
        <f t="shared" si="265"/>
        <v>0</v>
      </c>
      <c r="AG239" s="37">
        <f t="shared" si="266"/>
        <v>0</v>
      </c>
      <c r="AH239" s="37">
        <f t="shared" si="267"/>
        <v>0</v>
      </c>
      <c r="AI239" s="35"/>
      <c r="AJ239" s="24">
        <f t="shared" si="268"/>
        <v>0</v>
      </c>
      <c r="AK239" s="24">
        <f t="shared" si="269"/>
        <v>0</v>
      </c>
      <c r="AL239" s="24">
        <f t="shared" si="270"/>
        <v>0</v>
      </c>
      <c r="AN239" s="37">
        <v>21</v>
      </c>
      <c r="AO239" s="37">
        <f>I239*0.648744710860367</f>
        <v>0</v>
      </c>
      <c r="AP239" s="37">
        <f>I239*(1-0.648744710860367)</f>
        <v>0</v>
      </c>
      <c r="AQ239" s="38" t="s">
        <v>13</v>
      </c>
      <c r="AV239" s="37">
        <f t="shared" si="271"/>
        <v>0</v>
      </c>
      <c r="AW239" s="37">
        <f t="shared" si="272"/>
        <v>0</v>
      </c>
      <c r="AX239" s="37">
        <f t="shared" si="273"/>
        <v>0</v>
      </c>
      <c r="AY239" s="40" t="s">
        <v>1215</v>
      </c>
      <c r="AZ239" s="40" t="s">
        <v>1256</v>
      </c>
      <c r="BA239" s="35" t="s">
        <v>1262</v>
      </c>
      <c r="BC239" s="37">
        <f t="shared" si="274"/>
        <v>0</v>
      </c>
      <c r="BD239" s="37">
        <f t="shared" si="275"/>
        <v>0</v>
      </c>
      <c r="BE239" s="37">
        <v>0</v>
      </c>
      <c r="BF239" s="37">
        <f t="shared" si="276"/>
        <v>717</v>
      </c>
      <c r="BH239" s="24">
        <f t="shared" si="277"/>
        <v>0</v>
      </c>
      <c r="BI239" s="24">
        <f t="shared" si="278"/>
        <v>0</v>
      </c>
      <c r="BJ239" s="24">
        <f t="shared" si="279"/>
        <v>0</v>
      </c>
      <c r="BK239" s="24" t="s">
        <v>1267</v>
      </c>
      <c r="BL239" s="37">
        <v>734</v>
      </c>
    </row>
    <row r="240" spans="1:64" x14ac:dyDescent="0.25">
      <c r="A240" s="4" t="s">
        <v>180</v>
      </c>
      <c r="B240" s="14" t="s">
        <v>517</v>
      </c>
      <c r="C240" s="130" t="s">
        <v>911</v>
      </c>
      <c r="D240" s="131"/>
      <c r="E240" s="131"/>
      <c r="F240" s="131"/>
      <c r="G240" s="14" t="s">
        <v>1170</v>
      </c>
      <c r="H240" s="24">
        <v>2</v>
      </c>
      <c r="I240" s="24">
        <v>0</v>
      </c>
      <c r="J240" s="24">
        <f t="shared" si="257"/>
        <v>0</v>
      </c>
      <c r="K240" s="24">
        <f t="shared" si="258"/>
        <v>0</v>
      </c>
      <c r="L240" s="24">
        <f t="shared" si="259"/>
        <v>0</v>
      </c>
      <c r="M240" s="24">
        <v>1.3500000000000001E-3</v>
      </c>
      <c r="N240" s="46">
        <f>H240*240</f>
        <v>480</v>
      </c>
      <c r="O240" s="5"/>
      <c r="Z240" s="37">
        <f t="shared" si="260"/>
        <v>0</v>
      </c>
      <c r="AB240" s="37">
        <f t="shared" si="261"/>
        <v>0</v>
      </c>
      <c r="AC240" s="37">
        <f t="shared" si="262"/>
        <v>0</v>
      </c>
      <c r="AD240" s="37">
        <f t="shared" si="263"/>
        <v>0</v>
      </c>
      <c r="AE240" s="37">
        <f t="shared" si="264"/>
        <v>0</v>
      </c>
      <c r="AF240" s="37">
        <f t="shared" si="265"/>
        <v>0</v>
      </c>
      <c r="AG240" s="37">
        <f t="shared" si="266"/>
        <v>0</v>
      </c>
      <c r="AH240" s="37">
        <f t="shared" si="267"/>
        <v>0</v>
      </c>
      <c r="AI240" s="35"/>
      <c r="AJ240" s="24">
        <f t="shared" si="268"/>
        <v>0</v>
      </c>
      <c r="AK240" s="24">
        <f t="shared" si="269"/>
        <v>0</v>
      </c>
      <c r="AL240" s="24">
        <f t="shared" si="270"/>
        <v>0</v>
      </c>
      <c r="AN240" s="37">
        <v>21</v>
      </c>
      <c r="AO240" s="37">
        <f>I240*0.841955048162683</f>
        <v>0</v>
      </c>
      <c r="AP240" s="37">
        <f>I240*(1-0.841955048162683)</f>
        <v>0</v>
      </c>
      <c r="AQ240" s="38" t="s">
        <v>13</v>
      </c>
      <c r="AV240" s="37">
        <f t="shared" si="271"/>
        <v>0</v>
      </c>
      <c r="AW240" s="37">
        <f t="shared" si="272"/>
        <v>0</v>
      </c>
      <c r="AX240" s="37">
        <f t="shared" si="273"/>
        <v>0</v>
      </c>
      <c r="AY240" s="40" t="s">
        <v>1215</v>
      </c>
      <c r="AZ240" s="40" t="s">
        <v>1256</v>
      </c>
      <c r="BA240" s="35" t="s">
        <v>1262</v>
      </c>
      <c r="BC240" s="37">
        <f t="shared" si="274"/>
        <v>0</v>
      </c>
      <c r="BD240" s="37">
        <f t="shared" si="275"/>
        <v>0</v>
      </c>
      <c r="BE240" s="37">
        <v>0</v>
      </c>
      <c r="BF240" s="37">
        <f t="shared" si="276"/>
        <v>480</v>
      </c>
      <c r="BH240" s="24">
        <f t="shared" si="277"/>
        <v>0</v>
      </c>
      <c r="BI240" s="24">
        <f t="shared" si="278"/>
        <v>0</v>
      </c>
      <c r="BJ240" s="24">
        <f t="shared" si="279"/>
        <v>0</v>
      </c>
      <c r="BK240" s="24" t="s">
        <v>1267</v>
      </c>
      <c r="BL240" s="37">
        <v>734</v>
      </c>
    </row>
    <row r="241" spans="1:64" x14ac:dyDescent="0.25">
      <c r="A241" s="4" t="s">
        <v>181</v>
      </c>
      <c r="B241" s="14" t="s">
        <v>518</v>
      </c>
      <c r="C241" s="130" t="s">
        <v>912</v>
      </c>
      <c r="D241" s="131"/>
      <c r="E241" s="131"/>
      <c r="F241" s="131"/>
      <c r="G241" s="14" t="s">
        <v>1170</v>
      </c>
      <c r="H241" s="24">
        <v>1</v>
      </c>
      <c r="I241" s="24">
        <v>0</v>
      </c>
      <c r="J241" s="24">
        <f t="shared" si="257"/>
        <v>0</v>
      </c>
      <c r="K241" s="24">
        <f t="shared" si="258"/>
        <v>0</v>
      </c>
      <c r="L241" s="24">
        <f t="shared" si="259"/>
        <v>0</v>
      </c>
      <c r="M241" s="24">
        <v>0</v>
      </c>
      <c r="N241" s="46">
        <f>H241*241</f>
        <v>241</v>
      </c>
      <c r="O241" s="5"/>
      <c r="Z241" s="37">
        <f t="shared" si="260"/>
        <v>0</v>
      </c>
      <c r="AB241" s="37">
        <f t="shared" si="261"/>
        <v>0</v>
      </c>
      <c r="AC241" s="37">
        <f t="shared" si="262"/>
        <v>0</v>
      </c>
      <c r="AD241" s="37">
        <f t="shared" si="263"/>
        <v>0</v>
      </c>
      <c r="AE241" s="37">
        <f t="shared" si="264"/>
        <v>0</v>
      </c>
      <c r="AF241" s="37">
        <f t="shared" si="265"/>
        <v>0</v>
      </c>
      <c r="AG241" s="37">
        <f t="shared" si="266"/>
        <v>0</v>
      </c>
      <c r="AH241" s="37">
        <f t="shared" si="267"/>
        <v>0</v>
      </c>
      <c r="AI241" s="35"/>
      <c r="AJ241" s="24">
        <f t="shared" si="268"/>
        <v>0</v>
      </c>
      <c r="AK241" s="24">
        <f t="shared" si="269"/>
        <v>0</v>
      </c>
      <c r="AL241" s="24">
        <f t="shared" si="270"/>
        <v>0</v>
      </c>
      <c r="AN241" s="37">
        <v>21</v>
      </c>
      <c r="AO241" s="37">
        <f>I241*0.73986301369863</f>
        <v>0</v>
      </c>
      <c r="AP241" s="37">
        <f>I241*(1-0.73986301369863)</f>
        <v>0</v>
      </c>
      <c r="AQ241" s="38" t="s">
        <v>13</v>
      </c>
      <c r="AV241" s="37">
        <f t="shared" si="271"/>
        <v>0</v>
      </c>
      <c r="AW241" s="37">
        <f t="shared" si="272"/>
        <v>0</v>
      </c>
      <c r="AX241" s="37">
        <f t="shared" si="273"/>
        <v>0</v>
      </c>
      <c r="AY241" s="40" t="s">
        <v>1215</v>
      </c>
      <c r="AZ241" s="40" t="s">
        <v>1256</v>
      </c>
      <c r="BA241" s="35" t="s">
        <v>1262</v>
      </c>
      <c r="BC241" s="37">
        <f t="shared" si="274"/>
        <v>0</v>
      </c>
      <c r="BD241" s="37">
        <f t="shared" si="275"/>
        <v>0</v>
      </c>
      <c r="BE241" s="37">
        <v>0</v>
      </c>
      <c r="BF241" s="37">
        <f t="shared" si="276"/>
        <v>241</v>
      </c>
      <c r="BH241" s="24">
        <f t="shared" si="277"/>
        <v>0</v>
      </c>
      <c r="BI241" s="24">
        <f t="shared" si="278"/>
        <v>0</v>
      </c>
      <c r="BJ241" s="24">
        <f t="shared" si="279"/>
        <v>0</v>
      </c>
      <c r="BK241" s="24" t="s">
        <v>1267</v>
      </c>
      <c r="BL241" s="37">
        <v>734</v>
      </c>
    </row>
    <row r="242" spans="1:64" x14ac:dyDescent="0.25">
      <c r="A242" s="4" t="s">
        <v>182</v>
      </c>
      <c r="B242" s="14" t="s">
        <v>519</v>
      </c>
      <c r="C242" s="130" t="s">
        <v>913</v>
      </c>
      <c r="D242" s="131"/>
      <c r="E242" s="131"/>
      <c r="F242" s="131"/>
      <c r="G242" s="14" t="s">
        <v>1170</v>
      </c>
      <c r="H242" s="24">
        <v>1</v>
      </c>
      <c r="I242" s="24">
        <v>0</v>
      </c>
      <c r="J242" s="24">
        <f t="shared" si="257"/>
        <v>0</v>
      </c>
      <c r="K242" s="24">
        <f t="shared" si="258"/>
        <v>0</v>
      </c>
      <c r="L242" s="24">
        <f t="shared" si="259"/>
        <v>0</v>
      </c>
      <c r="M242" s="24">
        <v>0</v>
      </c>
      <c r="N242" s="46">
        <f>H242*242</f>
        <v>242</v>
      </c>
      <c r="O242" s="5"/>
      <c r="Z242" s="37">
        <f t="shared" si="260"/>
        <v>0</v>
      </c>
      <c r="AB242" s="37">
        <f t="shared" si="261"/>
        <v>0</v>
      </c>
      <c r="AC242" s="37">
        <f t="shared" si="262"/>
        <v>0</v>
      </c>
      <c r="AD242" s="37">
        <f t="shared" si="263"/>
        <v>0</v>
      </c>
      <c r="AE242" s="37">
        <f t="shared" si="264"/>
        <v>0</v>
      </c>
      <c r="AF242" s="37">
        <f t="shared" si="265"/>
        <v>0</v>
      </c>
      <c r="AG242" s="37">
        <f t="shared" si="266"/>
        <v>0</v>
      </c>
      <c r="AH242" s="37">
        <f t="shared" si="267"/>
        <v>0</v>
      </c>
      <c r="AI242" s="35"/>
      <c r="AJ242" s="24">
        <f t="shared" si="268"/>
        <v>0</v>
      </c>
      <c r="AK242" s="24">
        <f t="shared" si="269"/>
        <v>0</v>
      </c>
      <c r="AL242" s="24">
        <f t="shared" si="270"/>
        <v>0</v>
      </c>
      <c r="AN242" s="37">
        <v>21</v>
      </c>
      <c r="AO242" s="37">
        <f>I242*0.690780669144981</f>
        <v>0</v>
      </c>
      <c r="AP242" s="37">
        <f>I242*(1-0.690780669144981)</f>
        <v>0</v>
      </c>
      <c r="AQ242" s="38" t="s">
        <v>13</v>
      </c>
      <c r="AV242" s="37">
        <f t="shared" si="271"/>
        <v>0</v>
      </c>
      <c r="AW242" s="37">
        <f t="shared" si="272"/>
        <v>0</v>
      </c>
      <c r="AX242" s="37">
        <f t="shared" si="273"/>
        <v>0</v>
      </c>
      <c r="AY242" s="40" t="s">
        <v>1215</v>
      </c>
      <c r="AZ242" s="40" t="s">
        <v>1256</v>
      </c>
      <c r="BA242" s="35" t="s">
        <v>1262</v>
      </c>
      <c r="BC242" s="37">
        <f t="shared" si="274"/>
        <v>0</v>
      </c>
      <c r="BD242" s="37">
        <f t="shared" si="275"/>
        <v>0</v>
      </c>
      <c r="BE242" s="37">
        <v>0</v>
      </c>
      <c r="BF242" s="37">
        <f t="shared" si="276"/>
        <v>242</v>
      </c>
      <c r="BH242" s="24">
        <f t="shared" si="277"/>
        <v>0</v>
      </c>
      <c r="BI242" s="24">
        <f t="shared" si="278"/>
        <v>0</v>
      </c>
      <c r="BJ242" s="24">
        <f t="shared" si="279"/>
        <v>0</v>
      </c>
      <c r="BK242" s="24" t="s">
        <v>1267</v>
      </c>
      <c r="BL242" s="37">
        <v>734</v>
      </c>
    </row>
    <row r="243" spans="1:64" x14ac:dyDescent="0.25">
      <c r="A243" s="4" t="s">
        <v>183</v>
      </c>
      <c r="B243" s="14" t="s">
        <v>519</v>
      </c>
      <c r="C243" s="130" t="s">
        <v>914</v>
      </c>
      <c r="D243" s="131"/>
      <c r="E243" s="131"/>
      <c r="F243" s="131"/>
      <c r="G243" s="14" t="s">
        <v>1170</v>
      </c>
      <c r="H243" s="24">
        <v>1</v>
      </c>
      <c r="I243" s="24">
        <v>0</v>
      </c>
      <c r="J243" s="24">
        <f t="shared" si="257"/>
        <v>0</v>
      </c>
      <c r="K243" s="24">
        <f t="shared" si="258"/>
        <v>0</v>
      </c>
      <c r="L243" s="24">
        <f t="shared" si="259"/>
        <v>0</v>
      </c>
      <c r="M243" s="24">
        <v>0</v>
      </c>
      <c r="N243" s="46">
        <f>H243*243</f>
        <v>243</v>
      </c>
      <c r="O243" s="5"/>
      <c r="Z243" s="37">
        <f t="shared" si="260"/>
        <v>0</v>
      </c>
      <c r="AB243" s="37">
        <f t="shared" si="261"/>
        <v>0</v>
      </c>
      <c r="AC243" s="37">
        <f t="shared" si="262"/>
        <v>0</v>
      </c>
      <c r="AD243" s="37">
        <f t="shared" si="263"/>
        <v>0</v>
      </c>
      <c r="AE243" s="37">
        <f t="shared" si="264"/>
        <v>0</v>
      </c>
      <c r="AF243" s="37">
        <f t="shared" si="265"/>
        <v>0</v>
      </c>
      <c r="AG243" s="37">
        <f t="shared" si="266"/>
        <v>0</v>
      </c>
      <c r="AH243" s="37">
        <f t="shared" si="267"/>
        <v>0</v>
      </c>
      <c r="AI243" s="35"/>
      <c r="AJ243" s="24">
        <f t="shared" si="268"/>
        <v>0</v>
      </c>
      <c r="AK243" s="24">
        <f t="shared" si="269"/>
        <v>0</v>
      </c>
      <c r="AL243" s="24">
        <f t="shared" si="270"/>
        <v>0</v>
      </c>
      <c r="AN243" s="37">
        <v>21</v>
      </c>
      <c r="AO243" s="37">
        <f>I243*0.690780669144981</f>
        <v>0</v>
      </c>
      <c r="AP243" s="37">
        <f>I243*(1-0.690780669144981)</f>
        <v>0</v>
      </c>
      <c r="AQ243" s="38" t="s">
        <v>13</v>
      </c>
      <c r="AV243" s="37">
        <f t="shared" si="271"/>
        <v>0</v>
      </c>
      <c r="AW243" s="37">
        <f t="shared" si="272"/>
        <v>0</v>
      </c>
      <c r="AX243" s="37">
        <f t="shared" si="273"/>
        <v>0</v>
      </c>
      <c r="AY243" s="40" t="s">
        <v>1215</v>
      </c>
      <c r="AZ243" s="40" t="s">
        <v>1256</v>
      </c>
      <c r="BA243" s="35" t="s">
        <v>1262</v>
      </c>
      <c r="BC243" s="37">
        <f t="shared" si="274"/>
        <v>0</v>
      </c>
      <c r="BD243" s="37">
        <f t="shared" si="275"/>
        <v>0</v>
      </c>
      <c r="BE243" s="37">
        <v>0</v>
      </c>
      <c r="BF243" s="37">
        <f t="shared" si="276"/>
        <v>243</v>
      </c>
      <c r="BH243" s="24">
        <f t="shared" si="277"/>
        <v>0</v>
      </c>
      <c r="BI243" s="24">
        <f t="shared" si="278"/>
        <v>0</v>
      </c>
      <c r="BJ243" s="24">
        <f t="shared" si="279"/>
        <v>0</v>
      </c>
      <c r="BK243" s="24" t="s">
        <v>1267</v>
      </c>
      <c r="BL243" s="37">
        <v>734</v>
      </c>
    </row>
    <row r="244" spans="1:64" x14ac:dyDescent="0.25">
      <c r="A244" s="4" t="s">
        <v>184</v>
      </c>
      <c r="B244" s="14" t="s">
        <v>520</v>
      </c>
      <c r="C244" s="130" t="s">
        <v>915</v>
      </c>
      <c r="D244" s="131"/>
      <c r="E244" s="131"/>
      <c r="F244" s="131"/>
      <c r="G244" s="14" t="s">
        <v>1170</v>
      </c>
      <c r="H244" s="24">
        <v>4</v>
      </c>
      <c r="I244" s="24">
        <v>0</v>
      </c>
      <c r="J244" s="24">
        <f t="shared" si="257"/>
        <v>0</v>
      </c>
      <c r="K244" s="24">
        <f t="shared" si="258"/>
        <v>0</v>
      </c>
      <c r="L244" s="24">
        <f t="shared" si="259"/>
        <v>0</v>
      </c>
      <c r="M244" s="24">
        <v>1.1800000000000001E-3</v>
      </c>
      <c r="N244" s="46">
        <f>H244*244</f>
        <v>976</v>
      </c>
      <c r="O244" s="5"/>
      <c r="Z244" s="37">
        <f t="shared" si="260"/>
        <v>0</v>
      </c>
      <c r="AB244" s="37">
        <f t="shared" si="261"/>
        <v>0</v>
      </c>
      <c r="AC244" s="37">
        <f t="shared" si="262"/>
        <v>0</v>
      </c>
      <c r="AD244" s="37">
        <f t="shared" si="263"/>
        <v>0</v>
      </c>
      <c r="AE244" s="37">
        <f t="shared" si="264"/>
        <v>0</v>
      </c>
      <c r="AF244" s="37">
        <f t="shared" si="265"/>
        <v>0</v>
      </c>
      <c r="AG244" s="37">
        <f t="shared" si="266"/>
        <v>0</v>
      </c>
      <c r="AH244" s="37">
        <f t="shared" si="267"/>
        <v>0</v>
      </c>
      <c r="AI244" s="35"/>
      <c r="AJ244" s="24">
        <f t="shared" si="268"/>
        <v>0</v>
      </c>
      <c r="AK244" s="24">
        <f t="shared" si="269"/>
        <v>0</v>
      </c>
      <c r="AL244" s="24">
        <f t="shared" si="270"/>
        <v>0</v>
      </c>
      <c r="AN244" s="37">
        <v>21</v>
      </c>
      <c r="AO244" s="37">
        <f>I244*0.836166365280289</f>
        <v>0</v>
      </c>
      <c r="AP244" s="37">
        <f>I244*(1-0.836166365280289)</f>
        <v>0</v>
      </c>
      <c r="AQ244" s="38" t="s">
        <v>13</v>
      </c>
      <c r="AV244" s="37">
        <f t="shared" si="271"/>
        <v>0</v>
      </c>
      <c r="AW244" s="37">
        <f t="shared" si="272"/>
        <v>0</v>
      </c>
      <c r="AX244" s="37">
        <f t="shared" si="273"/>
        <v>0</v>
      </c>
      <c r="AY244" s="40" t="s">
        <v>1215</v>
      </c>
      <c r="AZ244" s="40" t="s">
        <v>1256</v>
      </c>
      <c r="BA244" s="35" t="s">
        <v>1262</v>
      </c>
      <c r="BC244" s="37">
        <f t="shared" si="274"/>
        <v>0</v>
      </c>
      <c r="BD244" s="37">
        <f t="shared" si="275"/>
        <v>0</v>
      </c>
      <c r="BE244" s="37">
        <v>0</v>
      </c>
      <c r="BF244" s="37">
        <f t="shared" si="276"/>
        <v>976</v>
      </c>
      <c r="BH244" s="24">
        <f t="shared" si="277"/>
        <v>0</v>
      </c>
      <c r="BI244" s="24">
        <f t="shared" si="278"/>
        <v>0</v>
      </c>
      <c r="BJ244" s="24">
        <f t="shared" si="279"/>
        <v>0</v>
      </c>
      <c r="BK244" s="24" t="s">
        <v>1267</v>
      </c>
      <c r="BL244" s="37">
        <v>734</v>
      </c>
    </row>
    <row r="245" spans="1:64" x14ac:dyDescent="0.25">
      <c r="A245" s="4" t="s">
        <v>185</v>
      </c>
      <c r="B245" s="14" t="s">
        <v>521</v>
      </c>
      <c r="C245" s="130" t="s">
        <v>916</v>
      </c>
      <c r="D245" s="131"/>
      <c r="E245" s="131"/>
      <c r="F245" s="131"/>
      <c r="G245" s="14" t="s">
        <v>1170</v>
      </c>
      <c r="H245" s="24">
        <v>3</v>
      </c>
      <c r="I245" s="24">
        <v>0</v>
      </c>
      <c r="J245" s="24">
        <f t="shared" si="257"/>
        <v>0</v>
      </c>
      <c r="K245" s="24">
        <f t="shared" si="258"/>
        <v>0</v>
      </c>
      <c r="L245" s="24">
        <f t="shared" si="259"/>
        <v>0</v>
      </c>
      <c r="M245" s="24">
        <v>8.4000000000000003E-4</v>
      </c>
      <c r="N245" s="46">
        <f>H245*245</f>
        <v>735</v>
      </c>
      <c r="O245" s="5"/>
      <c r="Z245" s="37">
        <f t="shared" si="260"/>
        <v>0</v>
      </c>
      <c r="AB245" s="37">
        <f t="shared" si="261"/>
        <v>0</v>
      </c>
      <c r="AC245" s="37">
        <f t="shared" si="262"/>
        <v>0</v>
      </c>
      <c r="AD245" s="37">
        <f t="shared" si="263"/>
        <v>0</v>
      </c>
      <c r="AE245" s="37">
        <f t="shared" si="264"/>
        <v>0</v>
      </c>
      <c r="AF245" s="37">
        <f t="shared" si="265"/>
        <v>0</v>
      </c>
      <c r="AG245" s="37">
        <f t="shared" si="266"/>
        <v>0</v>
      </c>
      <c r="AH245" s="37">
        <f t="shared" si="267"/>
        <v>0</v>
      </c>
      <c r="AI245" s="35"/>
      <c r="AJ245" s="24">
        <f t="shared" si="268"/>
        <v>0</v>
      </c>
      <c r="AK245" s="24">
        <f t="shared" si="269"/>
        <v>0</v>
      </c>
      <c r="AL245" s="24">
        <f t="shared" si="270"/>
        <v>0</v>
      </c>
      <c r="AN245" s="37">
        <v>21</v>
      </c>
      <c r="AO245" s="37">
        <f>I245*0.802909090909091</f>
        <v>0</v>
      </c>
      <c r="AP245" s="37">
        <f>I245*(1-0.802909090909091)</f>
        <v>0</v>
      </c>
      <c r="AQ245" s="38" t="s">
        <v>13</v>
      </c>
      <c r="AV245" s="37">
        <f t="shared" si="271"/>
        <v>0</v>
      </c>
      <c r="AW245" s="37">
        <f t="shared" si="272"/>
        <v>0</v>
      </c>
      <c r="AX245" s="37">
        <f t="shared" si="273"/>
        <v>0</v>
      </c>
      <c r="AY245" s="40" t="s">
        <v>1215</v>
      </c>
      <c r="AZ245" s="40" t="s">
        <v>1256</v>
      </c>
      <c r="BA245" s="35" t="s">
        <v>1262</v>
      </c>
      <c r="BC245" s="37">
        <f t="shared" si="274"/>
        <v>0</v>
      </c>
      <c r="BD245" s="37">
        <f t="shared" si="275"/>
        <v>0</v>
      </c>
      <c r="BE245" s="37">
        <v>0</v>
      </c>
      <c r="BF245" s="37">
        <f t="shared" si="276"/>
        <v>735</v>
      </c>
      <c r="BH245" s="24">
        <f t="shared" si="277"/>
        <v>0</v>
      </c>
      <c r="BI245" s="24">
        <f t="shared" si="278"/>
        <v>0</v>
      </c>
      <c r="BJ245" s="24">
        <f t="shared" si="279"/>
        <v>0</v>
      </c>
      <c r="BK245" s="24" t="s">
        <v>1267</v>
      </c>
      <c r="BL245" s="37">
        <v>734</v>
      </c>
    </row>
    <row r="246" spans="1:64" x14ac:dyDescent="0.25">
      <c r="A246" s="4" t="s">
        <v>186</v>
      </c>
      <c r="B246" s="14" t="s">
        <v>522</v>
      </c>
      <c r="C246" s="130" t="s">
        <v>917</v>
      </c>
      <c r="D246" s="131"/>
      <c r="E246" s="131"/>
      <c r="F246" s="131"/>
      <c r="G246" s="14" t="s">
        <v>1170</v>
      </c>
      <c r="H246" s="24">
        <v>3</v>
      </c>
      <c r="I246" s="24">
        <v>0</v>
      </c>
      <c r="J246" s="24">
        <f t="shared" si="257"/>
        <v>0</v>
      </c>
      <c r="K246" s="24">
        <f t="shared" si="258"/>
        <v>0</v>
      </c>
      <c r="L246" s="24">
        <f t="shared" si="259"/>
        <v>0</v>
      </c>
      <c r="M246" s="24">
        <v>4.0000000000000002E-4</v>
      </c>
      <c r="N246" s="46">
        <f>H246*246</f>
        <v>738</v>
      </c>
      <c r="O246" s="5"/>
      <c r="Z246" s="37">
        <f t="shared" si="260"/>
        <v>0</v>
      </c>
      <c r="AB246" s="37">
        <f t="shared" si="261"/>
        <v>0</v>
      </c>
      <c r="AC246" s="37">
        <f t="shared" si="262"/>
        <v>0</v>
      </c>
      <c r="AD246" s="37">
        <f t="shared" si="263"/>
        <v>0</v>
      </c>
      <c r="AE246" s="37">
        <f t="shared" si="264"/>
        <v>0</v>
      </c>
      <c r="AF246" s="37">
        <f t="shared" si="265"/>
        <v>0</v>
      </c>
      <c r="AG246" s="37">
        <f t="shared" si="266"/>
        <v>0</v>
      </c>
      <c r="AH246" s="37">
        <f t="shared" si="267"/>
        <v>0</v>
      </c>
      <c r="AI246" s="35"/>
      <c r="AJ246" s="24">
        <f t="shared" si="268"/>
        <v>0</v>
      </c>
      <c r="AK246" s="24">
        <f t="shared" si="269"/>
        <v>0</v>
      </c>
      <c r="AL246" s="24">
        <f t="shared" si="270"/>
        <v>0</v>
      </c>
      <c r="AN246" s="37">
        <v>21</v>
      </c>
      <c r="AO246" s="37">
        <f>I246*0.784663865546218</f>
        <v>0</v>
      </c>
      <c r="AP246" s="37">
        <f>I246*(1-0.784663865546218)</f>
        <v>0</v>
      </c>
      <c r="AQ246" s="38" t="s">
        <v>13</v>
      </c>
      <c r="AV246" s="37">
        <f t="shared" si="271"/>
        <v>0</v>
      </c>
      <c r="AW246" s="37">
        <f t="shared" si="272"/>
        <v>0</v>
      </c>
      <c r="AX246" s="37">
        <f t="shared" si="273"/>
        <v>0</v>
      </c>
      <c r="AY246" s="40" t="s">
        <v>1215</v>
      </c>
      <c r="AZ246" s="40" t="s">
        <v>1256</v>
      </c>
      <c r="BA246" s="35" t="s">
        <v>1262</v>
      </c>
      <c r="BC246" s="37">
        <f t="shared" si="274"/>
        <v>0</v>
      </c>
      <c r="BD246" s="37">
        <f t="shared" si="275"/>
        <v>0</v>
      </c>
      <c r="BE246" s="37">
        <v>0</v>
      </c>
      <c r="BF246" s="37">
        <f t="shared" si="276"/>
        <v>738</v>
      </c>
      <c r="BH246" s="24">
        <f t="shared" si="277"/>
        <v>0</v>
      </c>
      <c r="BI246" s="24">
        <f t="shared" si="278"/>
        <v>0</v>
      </c>
      <c r="BJ246" s="24">
        <f t="shared" si="279"/>
        <v>0</v>
      </c>
      <c r="BK246" s="24" t="s">
        <v>1267</v>
      </c>
      <c r="BL246" s="37">
        <v>734</v>
      </c>
    </row>
    <row r="247" spans="1:64" x14ac:dyDescent="0.25">
      <c r="A247" s="4" t="s">
        <v>187</v>
      </c>
      <c r="B247" s="14" t="s">
        <v>523</v>
      </c>
      <c r="C247" s="130" t="s">
        <v>918</v>
      </c>
      <c r="D247" s="131"/>
      <c r="E247" s="131"/>
      <c r="F247" s="131"/>
      <c r="G247" s="14" t="s">
        <v>1170</v>
      </c>
      <c r="H247" s="24">
        <v>5</v>
      </c>
      <c r="I247" s="24">
        <v>0</v>
      </c>
      <c r="J247" s="24">
        <f t="shared" si="257"/>
        <v>0</v>
      </c>
      <c r="K247" s="24">
        <f t="shared" si="258"/>
        <v>0</v>
      </c>
      <c r="L247" s="24">
        <f t="shared" si="259"/>
        <v>0</v>
      </c>
      <c r="M247" s="24">
        <v>2.7E-4</v>
      </c>
      <c r="N247" s="46">
        <f>H247*247</f>
        <v>1235</v>
      </c>
      <c r="O247" s="5"/>
      <c r="Z247" s="37">
        <f t="shared" si="260"/>
        <v>0</v>
      </c>
      <c r="AB247" s="37">
        <f t="shared" si="261"/>
        <v>0</v>
      </c>
      <c r="AC247" s="37">
        <f t="shared" si="262"/>
        <v>0</v>
      </c>
      <c r="AD247" s="37">
        <f t="shared" si="263"/>
        <v>0</v>
      </c>
      <c r="AE247" s="37">
        <f t="shared" si="264"/>
        <v>0</v>
      </c>
      <c r="AF247" s="37">
        <f t="shared" si="265"/>
        <v>0</v>
      </c>
      <c r="AG247" s="37">
        <f t="shared" si="266"/>
        <v>0</v>
      </c>
      <c r="AH247" s="37">
        <f t="shared" si="267"/>
        <v>0</v>
      </c>
      <c r="AI247" s="35"/>
      <c r="AJ247" s="24">
        <f t="shared" si="268"/>
        <v>0</v>
      </c>
      <c r="AK247" s="24">
        <f t="shared" si="269"/>
        <v>0</v>
      </c>
      <c r="AL247" s="24">
        <f t="shared" si="270"/>
        <v>0</v>
      </c>
      <c r="AN247" s="37">
        <v>21</v>
      </c>
      <c r="AO247" s="37">
        <f>I247*0.718654434250764</f>
        <v>0</v>
      </c>
      <c r="AP247" s="37">
        <f>I247*(1-0.718654434250764)</f>
        <v>0</v>
      </c>
      <c r="AQ247" s="38" t="s">
        <v>13</v>
      </c>
      <c r="AV247" s="37">
        <f t="shared" si="271"/>
        <v>0</v>
      </c>
      <c r="AW247" s="37">
        <f t="shared" si="272"/>
        <v>0</v>
      </c>
      <c r="AX247" s="37">
        <f t="shared" si="273"/>
        <v>0</v>
      </c>
      <c r="AY247" s="40" t="s">
        <v>1215</v>
      </c>
      <c r="AZ247" s="40" t="s">
        <v>1256</v>
      </c>
      <c r="BA247" s="35" t="s">
        <v>1262</v>
      </c>
      <c r="BC247" s="37">
        <f t="shared" si="274"/>
        <v>0</v>
      </c>
      <c r="BD247" s="37">
        <f t="shared" si="275"/>
        <v>0</v>
      </c>
      <c r="BE247" s="37">
        <v>0</v>
      </c>
      <c r="BF247" s="37">
        <f t="shared" si="276"/>
        <v>1235</v>
      </c>
      <c r="BH247" s="24">
        <f t="shared" si="277"/>
        <v>0</v>
      </c>
      <c r="BI247" s="24">
        <f t="shared" si="278"/>
        <v>0</v>
      </c>
      <c r="BJ247" s="24">
        <f t="shared" si="279"/>
        <v>0</v>
      </c>
      <c r="BK247" s="24" t="s">
        <v>1267</v>
      </c>
      <c r="BL247" s="37">
        <v>734</v>
      </c>
    </row>
    <row r="248" spans="1:64" x14ac:dyDescent="0.25">
      <c r="A248" s="4" t="s">
        <v>188</v>
      </c>
      <c r="B248" s="14" t="s">
        <v>524</v>
      </c>
      <c r="C248" s="130" t="s">
        <v>919</v>
      </c>
      <c r="D248" s="131"/>
      <c r="E248" s="131"/>
      <c r="F248" s="131"/>
      <c r="G248" s="14" t="s">
        <v>1170</v>
      </c>
      <c r="H248" s="24">
        <v>4</v>
      </c>
      <c r="I248" s="24">
        <v>0</v>
      </c>
      <c r="J248" s="24">
        <f t="shared" si="257"/>
        <v>0</v>
      </c>
      <c r="K248" s="24">
        <f t="shared" si="258"/>
        <v>0</v>
      </c>
      <c r="L248" s="24">
        <f t="shared" si="259"/>
        <v>0</v>
      </c>
      <c r="M248" s="24">
        <v>1.8000000000000001E-4</v>
      </c>
      <c r="N248" s="46">
        <f>H248*248</f>
        <v>992</v>
      </c>
      <c r="O248" s="5"/>
      <c r="Z248" s="37">
        <f t="shared" si="260"/>
        <v>0</v>
      </c>
      <c r="AB248" s="37">
        <f t="shared" si="261"/>
        <v>0</v>
      </c>
      <c r="AC248" s="37">
        <f t="shared" si="262"/>
        <v>0</v>
      </c>
      <c r="AD248" s="37">
        <f t="shared" si="263"/>
        <v>0</v>
      </c>
      <c r="AE248" s="37">
        <f t="shared" si="264"/>
        <v>0</v>
      </c>
      <c r="AF248" s="37">
        <f t="shared" si="265"/>
        <v>0</v>
      </c>
      <c r="AG248" s="37">
        <f t="shared" si="266"/>
        <v>0</v>
      </c>
      <c r="AH248" s="37">
        <f t="shared" si="267"/>
        <v>0</v>
      </c>
      <c r="AI248" s="35"/>
      <c r="AJ248" s="24">
        <f t="shared" si="268"/>
        <v>0</v>
      </c>
      <c r="AK248" s="24">
        <f t="shared" si="269"/>
        <v>0</v>
      </c>
      <c r="AL248" s="24">
        <f t="shared" si="270"/>
        <v>0</v>
      </c>
      <c r="AN248" s="37">
        <v>21</v>
      </c>
      <c r="AO248" s="37">
        <f>I248*0.686804451510334</f>
        <v>0</v>
      </c>
      <c r="AP248" s="37">
        <f>I248*(1-0.686804451510334)</f>
        <v>0</v>
      </c>
      <c r="AQ248" s="38" t="s">
        <v>13</v>
      </c>
      <c r="AV248" s="37">
        <f t="shared" si="271"/>
        <v>0</v>
      </c>
      <c r="AW248" s="37">
        <f t="shared" si="272"/>
        <v>0</v>
      </c>
      <c r="AX248" s="37">
        <f t="shared" si="273"/>
        <v>0</v>
      </c>
      <c r="AY248" s="40" t="s">
        <v>1215</v>
      </c>
      <c r="AZ248" s="40" t="s">
        <v>1256</v>
      </c>
      <c r="BA248" s="35" t="s">
        <v>1262</v>
      </c>
      <c r="BC248" s="37">
        <f t="shared" si="274"/>
        <v>0</v>
      </c>
      <c r="BD248" s="37">
        <f t="shared" si="275"/>
        <v>0</v>
      </c>
      <c r="BE248" s="37">
        <v>0</v>
      </c>
      <c r="BF248" s="37">
        <f t="shared" si="276"/>
        <v>992</v>
      </c>
      <c r="BH248" s="24">
        <f t="shared" si="277"/>
        <v>0</v>
      </c>
      <c r="BI248" s="24">
        <f t="shared" si="278"/>
        <v>0</v>
      </c>
      <c r="BJ248" s="24">
        <f t="shared" si="279"/>
        <v>0</v>
      </c>
      <c r="BK248" s="24" t="s">
        <v>1267</v>
      </c>
      <c r="BL248" s="37">
        <v>734</v>
      </c>
    </row>
    <row r="249" spans="1:64" x14ac:dyDescent="0.25">
      <c r="A249" s="4" t="s">
        <v>189</v>
      </c>
      <c r="B249" s="14" t="s">
        <v>525</v>
      </c>
      <c r="C249" s="130" t="s">
        <v>920</v>
      </c>
      <c r="D249" s="131"/>
      <c r="E249" s="131"/>
      <c r="F249" s="131"/>
      <c r="G249" s="14" t="s">
        <v>1170</v>
      </c>
      <c r="H249" s="24">
        <v>10</v>
      </c>
      <c r="I249" s="24">
        <v>0</v>
      </c>
      <c r="J249" s="24">
        <f t="shared" si="257"/>
        <v>0</v>
      </c>
      <c r="K249" s="24">
        <f t="shared" si="258"/>
        <v>0</v>
      </c>
      <c r="L249" s="24">
        <f t="shared" si="259"/>
        <v>0</v>
      </c>
      <c r="M249" s="24">
        <v>1.1E-4</v>
      </c>
      <c r="N249" s="46">
        <f>H249*249</f>
        <v>2490</v>
      </c>
      <c r="O249" s="5"/>
      <c r="Z249" s="37">
        <f t="shared" si="260"/>
        <v>0</v>
      </c>
      <c r="AB249" s="37">
        <f t="shared" si="261"/>
        <v>0</v>
      </c>
      <c r="AC249" s="37">
        <f t="shared" si="262"/>
        <v>0</v>
      </c>
      <c r="AD249" s="37">
        <f t="shared" si="263"/>
        <v>0</v>
      </c>
      <c r="AE249" s="37">
        <f t="shared" si="264"/>
        <v>0</v>
      </c>
      <c r="AF249" s="37">
        <f t="shared" si="265"/>
        <v>0</v>
      </c>
      <c r="AG249" s="37">
        <f t="shared" si="266"/>
        <v>0</v>
      </c>
      <c r="AH249" s="37">
        <f t="shared" si="267"/>
        <v>0</v>
      </c>
      <c r="AI249" s="35"/>
      <c r="AJ249" s="24">
        <f t="shared" si="268"/>
        <v>0</v>
      </c>
      <c r="AK249" s="24">
        <f t="shared" si="269"/>
        <v>0</v>
      </c>
      <c r="AL249" s="24">
        <f t="shared" si="270"/>
        <v>0</v>
      </c>
      <c r="AN249" s="37">
        <v>21</v>
      </c>
      <c r="AO249" s="37">
        <f>I249*0.65343258891646</f>
        <v>0</v>
      </c>
      <c r="AP249" s="37">
        <f>I249*(1-0.65343258891646)</f>
        <v>0</v>
      </c>
      <c r="AQ249" s="38" t="s">
        <v>13</v>
      </c>
      <c r="AV249" s="37">
        <f t="shared" si="271"/>
        <v>0</v>
      </c>
      <c r="AW249" s="37">
        <f t="shared" si="272"/>
        <v>0</v>
      </c>
      <c r="AX249" s="37">
        <f t="shared" si="273"/>
        <v>0</v>
      </c>
      <c r="AY249" s="40" t="s">
        <v>1215</v>
      </c>
      <c r="AZ249" s="40" t="s">
        <v>1256</v>
      </c>
      <c r="BA249" s="35" t="s">
        <v>1262</v>
      </c>
      <c r="BC249" s="37">
        <f t="shared" si="274"/>
        <v>0</v>
      </c>
      <c r="BD249" s="37">
        <f t="shared" si="275"/>
        <v>0</v>
      </c>
      <c r="BE249" s="37">
        <v>0</v>
      </c>
      <c r="BF249" s="37">
        <f t="shared" si="276"/>
        <v>2490</v>
      </c>
      <c r="BH249" s="24">
        <f t="shared" si="277"/>
        <v>0</v>
      </c>
      <c r="BI249" s="24">
        <f t="shared" si="278"/>
        <v>0</v>
      </c>
      <c r="BJ249" s="24">
        <f t="shared" si="279"/>
        <v>0</v>
      </c>
      <c r="BK249" s="24" t="s">
        <v>1267</v>
      </c>
      <c r="BL249" s="37">
        <v>734</v>
      </c>
    </row>
    <row r="250" spans="1:64" x14ac:dyDescent="0.25">
      <c r="A250" s="4" t="s">
        <v>190</v>
      </c>
      <c r="B250" s="14" t="s">
        <v>526</v>
      </c>
      <c r="C250" s="130" t="s">
        <v>921</v>
      </c>
      <c r="D250" s="131"/>
      <c r="E250" s="131"/>
      <c r="F250" s="131"/>
      <c r="G250" s="14" t="s">
        <v>1170</v>
      </c>
      <c r="H250" s="24">
        <v>10</v>
      </c>
      <c r="I250" s="24">
        <v>0</v>
      </c>
      <c r="J250" s="24">
        <f t="shared" si="257"/>
        <v>0</v>
      </c>
      <c r="K250" s="24">
        <f t="shared" si="258"/>
        <v>0</v>
      </c>
      <c r="L250" s="24">
        <f t="shared" si="259"/>
        <v>0</v>
      </c>
      <c r="M250" s="24">
        <v>6.2E-4</v>
      </c>
      <c r="N250" s="46">
        <f>H250*250</f>
        <v>2500</v>
      </c>
      <c r="O250" s="5"/>
      <c r="Z250" s="37">
        <f t="shared" si="260"/>
        <v>0</v>
      </c>
      <c r="AB250" s="37">
        <f t="shared" si="261"/>
        <v>0</v>
      </c>
      <c r="AC250" s="37">
        <f t="shared" si="262"/>
        <v>0</v>
      </c>
      <c r="AD250" s="37">
        <f t="shared" si="263"/>
        <v>0</v>
      </c>
      <c r="AE250" s="37">
        <f t="shared" si="264"/>
        <v>0</v>
      </c>
      <c r="AF250" s="37">
        <f t="shared" si="265"/>
        <v>0</v>
      </c>
      <c r="AG250" s="37">
        <f t="shared" si="266"/>
        <v>0</v>
      </c>
      <c r="AH250" s="37">
        <f t="shared" si="267"/>
        <v>0</v>
      </c>
      <c r="AI250" s="35"/>
      <c r="AJ250" s="24">
        <f t="shared" si="268"/>
        <v>0</v>
      </c>
      <c r="AK250" s="24">
        <f t="shared" si="269"/>
        <v>0</v>
      </c>
      <c r="AL250" s="24">
        <f t="shared" si="270"/>
        <v>0</v>
      </c>
      <c r="AN250" s="37">
        <v>21</v>
      </c>
      <c r="AO250" s="37">
        <f>I250*0.751985053713218</f>
        <v>0</v>
      </c>
      <c r="AP250" s="37">
        <f>I250*(1-0.751985053713218)</f>
        <v>0</v>
      </c>
      <c r="AQ250" s="38" t="s">
        <v>13</v>
      </c>
      <c r="AV250" s="37">
        <f t="shared" si="271"/>
        <v>0</v>
      </c>
      <c r="AW250" s="37">
        <f t="shared" si="272"/>
        <v>0</v>
      </c>
      <c r="AX250" s="37">
        <f t="shared" si="273"/>
        <v>0</v>
      </c>
      <c r="AY250" s="40" t="s">
        <v>1215</v>
      </c>
      <c r="AZ250" s="40" t="s">
        <v>1256</v>
      </c>
      <c r="BA250" s="35" t="s">
        <v>1262</v>
      </c>
      <c r="BC250" s="37">
        <f t="shared" si="274"/>
        <v>0</v>
      </c>
      <c r="BD250" s="37">
        <f t="shared" si="275"/>
        <v>0</v>
      </c>
      <c r="BE250" s="37">
        <v>0</v>
      </c>
      <c r="BF250" s="37">
        <f t="shared" si="276"/>
        <v>2500</v>
      </c>
      <c r="BH250" s="24">
        <f t="shared" si="277"/>
        <v>0</v>
      </c>
      <c r="BI250" s="24">
        <f t="shared" si="278"/>
        <v>0</v>
      </c>
      <c r="BJ250" s="24">
        <f t="shared" si="279"/>
        <v>0</v>
      </c>
      <c r="BK250" s="24" t="s">
        <v>1267</v>
      </c>
      <c r="BL250" s="37">
        <v>734</v>
      </c>
    </row>
    <row r="251" spans="1:64" x14ac:dyDescent="0.25">
      <c r="A251" s="4" t="s">
        <v>191</v>
      </c>
      <c r="B251" s="14" t="s">
        <v>527</v>
      </c>
      <c r="C251" s="130" t="s">
        <v>922</v>
      </c>
      <c r="D251" s="131"/>
      <c r="E251" s="131"/>
      <c r="F251" s="131"/>
      <c r="G251" s="14" t="s">
        <v>1170</v>
      </c>
      <c r="H251" s="24">
        <v>1</v>
      </c>
      <c r="I251" s="24">
        <v>0</v>
      </c>
      <c r="J251" s="24">
        <f t="shared" si="257"/>
        <v>0</v>
      </c>
      <c r="K251" s="24">
        <f t="shared" si="258"/>
        <v>0</v>
      </c>
      <c r="L251" s="24">
        <f t="shared" si="259"/>
        <v>0</v>
      </c>
      <c r="M251" s="24">
        <v>2.5200000000000001E-3</v>
      </c>
      <c r="N251" s="46">
        <f>H251*251</f>
        <v>251</v>
      </c>
      <c r="O251" s="5"/>
      <c r="Z251" s="37">
        <f t="shared" si="260"/>
        <v>0</v>
      </c>
      <c r="AB251" s="37">
        <f t="shared" si="261"/>
        <v>0</v>
      </c>
      <c r="AC251" s="37">
        <f t="shared" si="262"/>
        <v>0</v>
      </c>
      <c r="AD251" s="37">
        <f t="shared" si="263"/>
        <v>0</v>
      </c>
      <c r="AE251" s="37">
        <f t="shared" si="264"/>
        <v>0</v>
      </c>
      <c r="AF251" s="37">
        <f t="shared" si="265"/>
        <v>0</v>
      </c>
      <c r="AG251" s="37">
        <f t="shared" si="266"/>
        <v>0</v>
      </c>
      <c r="AH251" s="37">
        <f t="shared" si="267"/>
        <v>0</v>
      </c>
      <c r="AI251" s="35"/>
      <c r="AJ251" s="24">
        <f t="shared" si="268"/>
        <v>0</v>
      </c>
      <c r="AK251" s="24">
        <f t="shared" si="269"/>
        <v>0</v>
      </c>
      <c r="AL251" s="24">
        <f t="shared" si="270"/>
        <v>0</v>
      </c>
      <c r="AN251" s="37">
        <v>21</v>
      </c>
      <c r="AO251" s="37">
        <f>I251*0.860969387755102</f>
        <v>0</v>
      </c>
      <c r="AP251" s="37">
        <f>I251*(1-0.860969387755102)</f>
        <v>0</v>
      </c>
      <c r="AQ251" s="38" t="s">
        <v>13</v>
      </c>
      <c r="AV251" s="37">
        <f t="shared" si="271"/>
        <v>0</v>
      </c>
      <c r="AW251" s="37">
        <f t="shared" si="272"/>
        <v>0</v>
      </c>
      <c r="AX251" s="37">
        <f t="shared" si="273"/>
        <v>0</v>
      </c>
      <c r="AY251" s="40" t="s">
        <v>1215</v>
      </c>
      <c r="AZ251" s="40" t="s">
        <v>1256</v>
      </c>
      <c r="BA251" s="35" t="s">
        <v>1262</v>
      </c>
      <c r="BC251" s="37">
        <f t="shared" si="274"/>
        <v>0</v>
      </c>
      <c r="BD251" s="37">
        <f t="shared" si="275"/>
        <v>0</v>
      </c>
      <c r="BE251" s="37">
        <v>0</v>
      </c>
      <c r="BF251" s="37">
        <f t="shared" si="276"/>
        <v>251</v>
      </c>
      <c r="BH251" s="24">
        <f t="shared" si="277"/>
        <v>0</v>
      </c>
      <c r="BI251" s="24">
        <f t="shared" si="278"/>
        <v>0</v>
      </c>
      <c r="BJ251" s="24">
        <f t="shared" si="279"/>
        <v>0</v>
      </c>
      <c r="BK251" s="24" t="s">
        <v>1267</v>
      </c>
      <c r="BL251" s="37">
        <v>734</v>
      </c>
    </row>
    <row r="252" spans="1:64" x14ac:dyDescent="0.25">
      <c r="A252" s="4" t="s">
        <v>192</v>
      </c>
      <c r="B252" s="14" t="s">
        <v>527</v>
      </c>
      <c r="C252" s="130" t="s">
        <v>923</v>
      </c>
      <c r="D252" s="131"/>
      <c r="E252" s="131"/>
      <c r="F252" s="131"/>
      <c r="G252" s="14" t="s">
        <v>1170</v>
      </c>
      <c r="H252" s="24">
        <v>2</v>
      </c>
      <c r="I252" s="24">
        <v>0</v>
      </c>
      <c r="J252" s="24">
        <f t="shared" si="257"/>
        <v>0</v>
      </c>
      <c r="K252" s="24">
        <f t="shared" si="258"/>
        <v>0</v>
      </c>
      <c r="L252" s="24">
        <f t="shared" si="259"/>
        <v>0</v>
      </c>
      <c r="M252" s="24">
        <v>2.5200000000000001E-3</v>
      </c>
      <c r="N252" s="46">
        <f>H252*252</f>
        <v>504</v>
      </c>
      <c r="O252" s="5"/>
      <c r="Z252" s="37">
        <f t="shared" si="260"/>
        <v>0</v>
      </c>
      <c r="AB252" s="37">
        <f t="shared" si="261"/>
        <v>0</v>
      </c>
      <c r="AC252" s="37">
        <f t="shared" si="262"/>
        <v>0</v>
      </c>
      <c r="AD252" s="37">
        <f t="shared" si="263"/>
        <v>0</v>
      </c>
      <c r="AE252" s="37">
        <f t="shared" si="264"/>
        <v>0</v>
      </c>
      <c r="AF252" s="37">
        <f t="shared" si="265"/>
        <v>0</v>
      </c>
      <c r="AG252" s="37">
        <f t="shared" si="266"/>
        <v>0</v>
      </c>
      <c r="AH252" s="37">
        <f t="shared" si="267"/>
        <v>0</v>
      </c>
      <c r="AI252" s="35"/>
      <c r="AJ252" s="24">
        <f t="shared" si="268"/>
        <v>0</v>
      </c>
      <c r="AK252" s="24">
        <f t="shared" si="269"/>
        <v>0</v>
      </c>
      <c r="AL252" s="24">
        <f t="shared" si="270"/>
        <v>0</v>
      </c>
      <c r="AN252" s="37">
        <v>21</v>
      </c>
      <c r="AO252" s="37">
        <f>I252*0.525345622119816</f>
        <v>0</v>
      </c>
      <c r="AP252" s="37">
        <f>I252*(1-0.525345622119816)</f>
        <v>0</v>
      </c>
      <c r="AQ252" s="38" t="s">
        <v>13</v>
      </c>
      <c r="AV252" s="37">
        <f t="shared" si="271"/>
        <v>0</v>
      </c>
      <c r="AW252" s="37">
        <f t="shared" si="272"/>
        <v>0</v>
      </c>
      <c r="AX252" s="37">
        <f t="shared" si="273"/>
        <v>0</v>
      </c>
      <c r="AY252" s="40" t="s">
        <v>1215</v>
      </c>
      <c r="AZ252" s="40" t="s">
        <v>1256</v>
      </c>
      <c r="BA252" s="35" t="s">
        <v>1262</v>
      </c>
      <c r="BC252" s="37">
        <f t="shared" si="274"/>
        <v>0</v>
      </c>
      <c r="BD252" s="37">
        <f t="shared" si="275"/>
        <v>0</v>
      </c>
      <c r="BE252" s="37">
        <v>0</v>
      </c>
      <c r="BF252" s="37">
        <f t="shared" si="276"/>
        <v>504</v>
      </c>
      <c r="BH252" s="24">
        <f t="shared" si="277"/>
        <v>0</v>
      </c>
      <c r="BI252" s="24">
        <f t="shared" si="278"/>
        <v>0</v>
      </c>
      <c r="BJ252" s="24">
        <f t="shared" si="279"/>
        <v>0</v>
      </c>
      <c r="BK252" s="24" t="s">
        <v>1267</v>
      </c>
      <c r="BL252" s="37">
        <v>734</v>
      </c>
    </row>
    <row r="253" spans="1:64" x14ac:dyDescent="0.25">
      <c r="A253" s="4" t="s">
        <v>193</v>
      </c>
      <c r="B253" s="14" t="s">
        <v>528</v>
      </c>
      <c r="C253" s="130" t="s">
        <v>924</v>
      </c>
      <c r="D253" s="131"/>
      <c r="E253" s="131"/>
      <c r="F253" s="131"/>
      <c r="G253" s="14" t="s">
        <v>1170</v>
      </c>
      <c r="H253" s="24">
        <v>1</v>
      </c>
      <c r="I253" s="24">
        <v>0</v>
      </c>
      <c r="J253" s="24">
        <f t="shared" si="257"/>
        <v>0</v>
      </c>
      <c r="K253" s="24">
        <f t="shared" si="258"/>
        <v>0</v>
      </c>
      <c r="L253" s="24">
        <f t="shared" si="259"/>
        <v>0</v>
      </c>
      <c r="M253" s="24">
        <v>2.14E-3</v>
      </c>
      <c r="N253" s="46">
        <f>H253*253</f>
        <v>253</v>
      </c>
      <c r="O253" s="5"/>
      <c r="Z253" s="37">
        <f t="shared" si="260"/>
        <v>0</v>
      </c>
      <c r="AB253" s="37">
        <f t="shared" si="261"/>
        <v>0</v>
      </c>
      <c r="AC253" s="37">
        <f t="shared" si="262"/>
        <v>0</v>
      </c>
      <c r="AD253" s="37">
        <f t="shared" si="263"/>
        <v>0</v>
      </c>
      <c r="AE253" s="37">
        <f t="shared" si="264"/>
        <v>0</v>
      </c>
      <c r="AF253" s="37">
        <f t="shared" si="265"/>
        <v>0</v>
      </c>
      <c r="AG253" s="37">
        <f t="shared" si="266"/>
        <v>0</v>
      </c>
      <c r="AH253" s="37">
        <f t="shared" si="267"/>
        <v>0</v>
      </c>
      <c r="AI253" s="35"/>
      <c r="AJ253" s="24">
        <f t="shared" si="268"/>
        <v>0</v>
      </c>
      <c r="AK253" s="24">
        <f t="shared" si="269"/>
        <v>0</v>
      </c>
      <c r="AL253" s="24">
        <f t="shared" si="270"/>
        <v>0</v>
      </c>
      <c r="AN253" s="37">
        <v>21</v>
      </c>
      <c r="AO253" s="37">
        <f>I253*0.744949494949495</f>
        <v>0</v>
      </c>
      <c r="AP253" s="37">
        <f>I253*(1-0.744949494949495)</f>
        <v>0</v>
      </c>
      <c r="AQ253" s="38" t="s">
        <v>13</v>
      </c>
      <c r="AV253" s="37">
        <f t="shared" si="271"/>
        <v>0</v>
      </c>
      <c r="AW253" s="37">
        <f t="shared" si="272"/>
        <v>0</v>
      </c>
      <c r="AX253" s="37">
        <f t="shared" si="273"/>
        <v>0</v>
      </c>
      <c r="AY253" s="40" t="s">
        <v>1215</v>
      </c>
      <c r="AZ253" s="40" t="s">
        <v>1256</v>
      </c>
      <c r="BA253" s="35" t="s">
        <v>1262</v>
      </c>
      <c r="BC253" s="37">
        <f t="shared" si="274"/>
        <v>0</v>
      </c>
      <c r="BD253" s="37">
        <f t="shared" si="275"/>
        <v>0</v>
      </c>
      <c r="BE253" s="37">
        <v>0</v>
      </c>
      <c r="BF253" s="37">
        <f t="shared" si="276"/>
        <v>253</v>
      </c>
      <c r="BH253" s="24">
        <f t="shared" si="277"/>
        <v>0</v>
      </c>
      <c r="BI253" s="24">
        <f t="shared" si="278"/>
        <v>0</v>
      </c>
      <c r="BJ253" s="24">
        <f t="shared" si="279"/>
        <v>0</v>
      </c>
      <c r="BK253" s="24" t="s">
        <v>1267</v>
      </c>
      <c r="BL253" s="37">
        <v>734</v>
      </c>
    </row>
    <row r="254" spans="1:64" x14ac:dyDescent="0.25">
      <c r="A254" s="4" t="s">
        <v>194</v>
      </c>
      <c r="B254" s="14" t="s">
        <v>529</v>
      </c>
      <c r="C254" s="130" t="s">
        <v>925</v>
      </c>
      <c r="D254" s="131"/>
      <c r="E254" s="131"/>
      <c r="F254" s="131"/>
      <c r="G254" s="14" t="s">
        <v>1170</v>
      </c>
      <c r="H254" s="24">
        <v>10</v>
      </c>
      <c r="I254" s="24">
        <v>0</v>
      </c>
      <c r="J254" s="24">
        <f t="shared" si="257"/>
        <v>0</v>
      </c>
      <c r="K254" s="24">
        <f t="shared" si="258"/>
        <v>0</v>
      </c>
      <c r="L254" s="24">
        <f t="shared" si="259"/>
        <v>0</v>
      </c>
      <c r="M254" s="24">
        <v>1E-4</v>
      </c>
      <c r="N254" s="46">
        <f>H254*254</f>
        <v>2540</v>
      </c>
      <c r="O254" s="5"/>
      <c r="Z254" s="37">
        <f t="shared" si="260"/>
        <v>0</v>
      </c>
      <c r="AB254" s="37">
        <f t="shared" si="261"/>
        <v>0</v>
      </c>
      <c r="AC254" s="37">
        <f t="shared" si="262"/>
        <v>0</v>
      </c>
      <c r="AD254" s="37">
        <f t="shared" si="263"/>
        <v>0</v>
      </c>
      <c r="AE254" s="37">
        <f t="shared" si="264"/>
        <v>0</v>
      </c>
      <c r="AF254" s="37">
        <f t="shared" si="265"/>
        <v>0</v>
      </c>
      <c r="AG254" s="37">
        <f t="shared" si="266"/>
        <v>0</v>
      </c>
      <c r="AH254" s="37">
        <f t="shared" si="267"/>
        <v>0</v>
      </c>
      <c r="AI254" s="35"/>
      <c r="AJ254" s="24">
        <f t="shared" si="268"/>
        <v>0</v>
      </c>
      <c r="AK254" s="24">
        <f t="shared" si="269"/>
        <v>0</v>
      </c>
      <c r="AL254" s="24">
        <f t="shared" si="270"/>
        <v>0</v>
      </c>
      <c r="AN254" s="37">
        <v>21</v>
      </c>
      <c r="AO254" s="37">
        <f>I254*0.858689458689459</f>
        <v>0</v>
      </c>
      <c r="AP254" s="37">
        <f>I254*(1-0.858689458689459)</f>
        <v>0</v>
      </c>
      <c r="AQ254" s="38" t="s">
        <v>13</v>
      </c>
      <c r="AV254" s="37">
        <f t="shared" si="271"/>
        <v>0</v>
      </c>
      <c r="AW254" s="37">
        <f t="shared" si="272"/>
        <v>0</v>
      </c>
      <c r="AX254" s="37">
        <f t="shared" si="273"/>
        <v>0</v>
      </c>
      <c r="AY254" s="40" t="s">
        <v>1215</v>
      </c>
      <c r="AZ254" s="40" t="s">
        <v>1256</v>
      </c>
      <c r="BA254" s="35" t="s">
        <v>1262</v>
      </c>
      <c r="BC254" s="37">
        <f t="shared" si="274"/>
        <v>0</v>
      </c>
      <c r="BD254" s="37">
        <f t="shared" si="275"/>
        <v>0</v>
      </c>
      <c r="BE254" s="37">
        <v>0</v>
      </c>
      <c r="BF254" s="37">
        <f t="shared" si="276"/>
        <v>2540</v>
      </c>
      <c r="BH254" s="24">
        <f t="shared" si="277"/>
        <v>0</v>
      </c>
      <c r="BI254" s="24">
        <f t="shared" si="278"/>
        <v>0</v>
      </c>
      <c r="BJ254" s="24">
        <f t="shared" si="279"/>
        <v>0</v>
      </c>
      <c r="BK254" s="24" t="s">
        <v>1267</v>
      </c>
      <c r="BL254" s="37">
        <v>734</v>
      </c>
    </row>
    <row r="255" spans="1:64" x14ac:dyDescent="0.25">
      <c r="A255" s="4" t="s">
        <v>195</v>
      </c>
      <c r="B255" s="14" t="s">
        <v>530</v>
      </c>
      <c r="C255" s="130" t="s">
        <v>926</v>
      </c>
      <c r="D255" s="131"/>
      <c r="E255" s="131"/>
      <c r="F255" s="131"/>
      <c r="G255" s="14" t="s">
        <v>1170</v>
      </c>
      <c r="H255" s="24">
        <v>10</v>
      </c>
      <c r="I255" s="24">
        <v>0</v>
      </c>
      <c r="J255" s="24">
        <f t="shared" si="257"/>
        <v>0</v>
      </c>
      <c r="K255" s="24">
        <f t="shared" si="258"/>
        <v>0</v>
      </c>
      <c r="L255" s="24">
        <f t="shared" si="259"/>
        <v>0</v>
      </c>
      <c r="M255" s="24">
        <v>2.4000000000000001E-4</v>
      </c>
      <c r="N255" s="46">
        <f>H255*255</f>
        <v>2550</v>
      </c>
      <c r="O255" s="5"/>
      <c r="Z255" s="37">
        <f t="shared" si="260"/>
        <v>0</v>
      </c>
      <c r="AB255" s="37">
        <f t="shared" si="261"/>
        <v>0</v>
      </c>
      <c r="AC255" s="37">
        <f t="shared" si="262"/>
        <v>0</v>
      </c>
      <c r="AD255" s="37">
        <f t="shared" si="263"/>
        <v>0</v>
      </c>
      <c r="AE255" s="37">
        <f t="shared" si="264"/>
        <v>0</v>
      </c>
      <c r="AF255" s="37">
        <f t="shared" si="265"/>
        <v>0</v>
      </c>
      <c r="AG255" s="37">
        <f t="shared" si="266"/>
        <v>0</v>
      </c>
      <c r="AH255" s="37">
        <f t="shared" si="267"/>
        <v>0</v>
      </c>
      <c r="AI255" s="35"/>
      <c r="AJ255" s="24">
        <f t="shared" si="268"/>
        <v>0</v>
      </c>
      <c r="AK255" s="24">
        <f t="shared" si="269"/>
        <v>0</v>
      </c>
      <c r="AL255" s="24">
        <f t="shared" si="270"/>
        <v>0</v>
      </c>
      <c r="AN255" s="37">
        <v>21</v>
      </c>
      <c r="AO255" s="37">
        <f>I255*0.841148325358852</f>
        <v>0</v>
      </c>
      <c r="AP255" s="37">
        <f>I255*(1-0.841148325358852)</f>
        <v>0</v>
      </c>
      <c r="AQ255" s="38" t="s">
        <v>13</v>
      </c>
      <c r="AV255" s="37">
        <f t="shared" si="271"/>
        <v>0</v>
      </c>
      <c r="AW255" s="37">
        <f t="shared" si="272"/>
        <v>0</v>
      </c>
      <c r="AX255" s="37">
        <f t="shared" si="273"/>
        <v>0</v>
      </c>
      <c r="AY255" s="40" t="s">
        <v>1215</v>
      </c>
      <c r="AZ255" s="40" t="s">
        <v>1256</v>
      </c>
      <c r="BA255" s="35" t="s">
        <v>1262</v>
      </c>
      <c r="BC255" s="37">
        <f t="shared" si="274"/>
        <v>0</v>
      </c>
      <c r="BD255" s="37">
        <f t="shared" si="275"/>
        <v>0</v>
      </c>
      <c r="BE255" s="37">
        <v>0</v>
      </c>
      <c r="BF255" s="37">
        <f t="shared" si="276"/>
        <v>2550</v>
      </c>
      <c r="BH255" s="24">
        <f t="shared" si="277"/>
        <v>0</v>
      </c>
      <c r="BI255" s="24">
        <f t="shared" si="278"/>
        <v>0</v>
      </c>
      <c r="BJ255" s="24">
        <f t="shared" si="279"/>
        <v>0</v>
      </c>
      <c r="BK255" s="24" t="s">
        <v>1267</v>
      </c>
      <c r="BL255" s="37">
        <v>734</v>
      </c>
    </row>
    <row r="256" spans="1:64" x14ac:dyDescent="0.25">
      <c r="A256" s="4" t="s">
        <v>196</v>
      </c>
      <c r="B256" s="14" t="s">
        <v>505</v>
      </c>
      <c r="C256" s="130" t="s">
        <v>927</v>
      </c>
      <c r="D256" s="131"/>
      <c r="E256" s="131"/>
      <c r="F256" s="131"/>
      <c r="G256" s="14" t="s">
        <v>1170</v>
      </c>
      <c r="H256" s="24">
        <v>1</v>
      </c>
      <c r="I256" s="24">
        <v>0</v>
      </c>
      <c r="J256" s="24">
        <f t="shared" si="257"/>
        <v>0</v>
      </c>
      <c r="K256" s="24">
        <f t="shared" si="258"/>
        <v>0</v>
      </c>
      <c r="L256" s="24">
        <f t="shared" si="259"/>
        <v>0</v>
      </c>
      <c r="M256" s="24">
        <v>0</v>
      </c>
      <c r="N256" s="46">
        <f>H256*256</f>
        <v>256</v>
      </c>
      <c r="O256" s="5"/>
      <c r="Z256" s="37">
        <f t="shared" si="260"/>
        <v>0</v>
      </c>
      <c r="AB256" s="37">
        <f t="shared" si="261"/>
        <v>0</v>
      </c>
      <c r="AC256" s="37">
        <f t="shared" si="262"/>
        <v>0</v>
      </c>
      <c r="AD256" s="37">
        <f t="shared" si="263"/>
        <v>0</v>
      </c>
      <c r="AE256" s="37">
        <f t="shared" si="264"/>
        <v>0</v>
      </c>
      <c r="AF256" s="37">
        <f t="shared" si="265"/>
        <v>0</v>
      </c>
      <c r="AG256" s="37">
        <f t="shared" si="266"/>
        <v>0</v>
      </c>
      <c r="AH256" s="37">
        <f t="shared" si="267"/>
        <v>0</v>
      </c>
      <c r="AI256" s="35"/>
      <c r="AJ256" s="24">
        <f t="shared" si="268"/>
        <v>0</v>
      </c>
      <c r="AK256" s="24">
        <f t="shared" si="269"/>
        <v>0</v>
      </c>
      <c r="AL256" s="24">
        <f t="shared" si="270"/>
        <v>0</v>
      </c>
      <c r="AN256" s="37">
        <v>21</v>
      </c>
      <c r="AO256" s="37">
        <f>I256*0.41699604743083</f>
        <v>0</v>
      </c>
      <c r="AP256" s="37">
        <f>I256*(1-0.41699604743083)</f>
        <v>0</v>
      </c>
      <c r="AQ256" s="38" t="s">
        <v>13</v>
      </c>
      <c r="AV256" s="37">
        <f t="shared" si="271"/>
        <v>0</v>
      </c>
      <c r="AW256" s="37">
        <f t="shared" si="272"/>
        <v>0</v>
      </c>
      <c r="AX256" s="37">
        <f t="shared" si="273"/>
        <v>0</v>
      </c>
      <c r="AY256" s="40" t="s">
        <v>1215</v>
      </c>
      <c r="AZ256" s="40" t="s">
        <v>1256</v>
      </c>
      <c r="BA256" s="35" t="s">
        <v>1262</v>
      </c>
      <c r="BC256" s="37">
        <f t="shared" si="274"/>
        <v>0</v>
      </c>
      <c r="BD256" s="37">
        <f t="shared" si="275"/>
        <v>0</v>
      </c>
      <c r="BE256" s="37">
        <v>0</v>
      </c>
      <c r="BF256" s="37">
        <f t="shared" si="276"/>
        <v>256</v>
      </c>
      <c r="BH256" s="24">
        <f t="shared" si="277"/>
        <v>0</v>
      </c>
      <c r="BI256" s="24">
        <f t="shared" si="278"/>
        <v>0</v>
      </c>
      <c r="BJ256" s="24">
        <f t="shared" si="279"/>
        <v>0</v>
      </c>
      <c r="BK256" s="24" t="s">
        <v>1267</v>
      </c>
      <c r="BL256" s="37">
        <v>734</v>
      </c>
    </row>
    <row r="257" spans="1:64" x14ac:dyDescent="0.25">
      <c r="A257" s="4" t="s">
        <v>197</v>
      </c>
      <c r="B257" s="14" t="s">
        <v>505</v>
      </c>
      <c r="C257" s="130" t="s">
        <v>928</v>
      </c>
      <c r="D257" s="131"/>
      <c r="E257" s="131"/>
      <c r="F257" s="131"/>
      <c r="G257" s="14" t="s">
        <v>1170</v>
      </c>
      <c r="H257" s="24">
        <v>1</v>
      </c>
      <c r="I257" s="24">
        <v>0</v>
      </c>
      <c r="J257" s="24">
        <f t="shared" si="257"/>
        <v>0</v>
      </c>
      <c r="K257" s="24">
        <f t="shared" si="258"/>
        <v>0</v>
      </c>
      <c r="L257" s="24">
        <f t="shared" si="259"/>
        <v>0</v>
      </c>
      <c r="M257" s="24">
        <v>0</v>
      </c>
      <c r="N257" s="46">
        <f>H257*257</f>
        <v>257</v>
      </c>
      <c r="O257" s="5"/>
      <c r="Z257" s="37">
        <f t="shared" si="260"/>
        <v>0</v>
      </c>
      <c r="AB257" s="37">
        <f t="shared" si="261"/>
        <v>0</v>
      </c>
      <c r="AC257" s="37">
        <f t="shared" si="262"/>
        <v>0</v>
      </c>
      <c r="AD257" s="37">
        <f t="shared" si="263"/>
        <v>0</v>
      </c>
      <c r="AE257" s="37">
        <f t="shared" si="264"/>
        <v>0</v>
      </c>
      <c r="AF257" s="37">
        <f t="shared" si="265"/>
        <v>0</v>
      </c>
      <c r="AG257" s="37">
        <f t="shared" si="266"/>
        <v>0</v>
      </c>
      <c r="AH257" s="37">
        <f t="shared" si="267"/>
        <v>0</v>
      </c>
      <c r="AI257" s="35"/>
      <c r="AJ257" s="24">
        <f t="shared" si="268"/>
        <v>0</v>
      </c>
      <c r="AK257" s="24">
        <f t="shared" si="269"/>
        <v>0</v>
      </c>
      <c r="AL257" s="24">
        <f t="shared" si="270"/>
        <v>0</v>
      </c>
      <c r="AN257" s="37">
        <v>21</v>
      </c>
      <c r="AO257" s="37">
        <f>I257*0.45873320537428</f>
        <v>0</v>
      </c>
      <c r="AP257" s="37">
        <f>I257*(1-0.45873320537428)</f>
        <v>0</v>
      </c>
      <c r="AQ257" s="38" t="s">
        <v>13</v>
      </c>
      <c r="AV257" s="37">
        <f t="shared" si="271"/>
        <v>0</v>
      </c>
      <c r="AW257" s="37">
        <f t="shared" si="272"/>
        <v>0</v>
      </c>
      <c r="AX257" s="37">
        <f t="shared" si="273"/>
        <v>0</v>
      </c>
      <c r="AY257" s="40" t="s">
        <v>1215</v>
      </c>
      <c r="AZ257" s="40" t="s">
        <v>1256</v>
      </c>
      <c r="BA257" s="35" t="s">
        <v>1262</v>
      </c>
      <c r="BC257" s="37">
        <f t="shared" si="274"/>
        <v>0</v>
      </c>
      <c r="BD257" s="37">
        <f t="shared" si="275"/>
        <v>0</v>
      </c>
      <c r="BE257" s="37">
        <v>0</v>
      </c>
      <c r="BF257" s="37">
        <f t="shared" si="276"/>
        <v>257</v>
      </c>
      <c r="BH257" s="24">
        <f t="shared" si="277"/>
        <v>0</v>
      </c>
      <c r="BI257" s="24">
        <f t="shared" si="278"/>
        <v>0</v>
      </c>
      <c r="BJ257" s="24">
        <f t="shared" si="279"/>
        <v>0</v>
      </c>
      <c r="BK257" s="24" t="s">
        <v>1267</v>
      </c>
      <c r="BL257" s="37">
        <v>734</v>
      </c>
    </row>
    <row r="258" spans="1:64" x14ac:dyDescent="0.25">
      <c r="A258" s="4" t="s">
        <v>198</v>
      </c>
      <c r="B258" s="14" t="s">
        <v>441</v>
      </c>
      <c r="C258" s="130" t="s">
        <v>929</v>
      </c>
      <c r="D258" s="131"/>
      <c r="E258" s="131"/>
      <c r="F258" s="131"/>
      <c r="G258" s="14" t="s">
        <v>1170</v>
      </c>
      <c r="H258" s="24">
        <v>4</v>
      </c>
      <c r="I258" s="24">
        <v>0</v>
      </c>
      <c r="J258" s="24">
        <f t="shared" si="257"/>
        <v>0</v>
      </c>
      <c r="K258" s="24">
        <f t="shared" si="258"/>
        <v>0</v>
      </c>
      <c r="L258" s="24">
        <f t="shared" si="259"/>
        <v>0</v>
      </c>
      <c r="M258" s="24">
        <v>0</v>
      </c>
      <c r="N258" s="46">
        <f>H258*258</f>
        <v>1032</v>
      </c>
      <c r="O258" s="5"/>
      <c r="Z258" s="37">
        <f t="shared" si="260"/>
        <v>0</v>
      </c>
      <c r="AB258" s="37">
        <f t="shared" si="261"/>
        <v>0</v>
      </c>
      <c r="AC258" s="37">
        <f t="shared" si="262"/>
        <v>0</v>
      </c>
      <c r="AD258" s="37">
        <f t="shared" si="263"/>
        <v>0</v>
      </c>
      <c r="AE258" s="37">
        <f t="shared" si="264"/>
        <v>0</v>
      </c>
      <c r="AF258" s="37">
        <f t="shared" si="265"/>
        <v>0</v>
      </c>
      <c r="AG258" s="37">
        <f t="shared" si="266"/>
        <v>0</v>
      </c>
      <c r="AH258" s="37">
        <f t="shared" si="267"/>
        <v>0</v>
      </c>
      <c r="AI258" s="35"/>
      <c r="AJ258" s="24">
        <f t="shared" si="268"/>
        <v>0</v>
      </c>
      <c r="AK258" s="24">
        <f t="shared" si="269"/>
        <v>0</v>
      </c>
      <c r="AL258" s="24">
        <f t="shared" si="270"/>
        <v>0</v>
      </c>
      <c r="AN258" s="37">
        <v>21</v>
      </c>
      <c r="AO258" s="37">
        <f>I258*0.511226252158895</f>
        <v>0</v>
      </c>
      <c r="AP258" s="37">
        <f>I258*(1-0.511226252158895)</f>
        <v>0</v>
      </c>
      <c r="AQ258" s="38" t="s">
        <v>13</v>
      </c>
      <c r="AV258" s="37">
        <f t="shared" si="271"/>
        <v>0</v>
      </c>
      <c r="AW258" s="37">
        <f t="shared" si="272"/>
        <v>0</v>
      </c>
      <c r="AX258" s="37">
        <f t="shared" si="273"/>
        <v>0</v>
      </c>
      <c r="AY258" s="40" t="s">
        <v>1215</v>
      </c>
      <c r="AZ258" s="40" t="s">
        <v>1256</v>
      </c>
      <c r="BA258" s="35" t="s">
        <v>1262</v>
      </c>
      <c r="BC258" s="37">
        <f t="shared" si="274"/>
        <v>0</v>
      </c>
      <c r="BD258" s="37">
        <f t="shared" si="275"/>
        <v>0</v>
      </c>
      <c r="BE258" s="37">
        <v>0</v>
      </c>
      <c r="BF258" s="37">
        <f t="shared" si="276"/>
        <v>1032</v>
      </c>
      <c r="BH258" s="24">
        <f t="shared" si="277"/>
        <v>0</v>
      </c>
      <c r="BI258" s="24">
        <f t="shared" si="278"/>
        <v>0</v>
      </c>
      <c r="BJ258" s="24">
        <f t="shared" si="279"/>
        <v>0</v>
      </c>
      <c r="BK258" s="24" t="s">
        <v>1267</v>
      </c>
      <c r="BL258" s="37">
        <v>734</v>
      </c>
    </row>
    <row r="259" spans="1:64" x14ac:dyDescent="0.25">
      <c r="A259" s="4" t="s">
        <v>199</v>
      </c>
      <c r="B259" s="14" t="s">
        <v>441</v>
      </c>
      <c r="C259" s="130" t="s">
        <v>829</v>
      </c>
      <c r="D259" s="131"/>
      <c r="E259" s="131"/>
      <c r="F259" s="131"/>
      <c r="G259" s="14" t="s">
        <v>1170</v>
      </c>
      <c r="H259" s="24">
        <v>1</v>
      </c>
      <c r="I259" s="24">
        <v>0</v>
      </c>
      <c r="J259" s="24">
        <f t="shared" si="257"/>
        <v>0</v>
      </c>
      <c r="K259" s="24">
        <f t="shared" si="258"/>
        <v>0</v>
      </c>
      <c r="L259" s="24">
        <f t="shared" si="259"/>
        <v>0</v>
      </c>
      <c r="M259" s="24">
        <v>0</v>
      </c>
      <c r="N259" s="46">
        <f>H259*259</f>
        <v>259</v>
      </c>
      <c r="O259" s="5"/>
      <c r="Z259" s="37">
        <f t="shared" si="260"/>
        <v>0</v>
      </c>
      <c r="AB259" s="37">
        <f t="shared" si="261"/>
        <v>0</v>
      </c>
      <c r="AC259" s="37">
        <f t="shared" si="262"/>
        <v>0</v>
      </c>
      <c r="AD259" s="37">
        <f t="shared" si="263"/>
        <v>0</v>
      </c>
      <c r="AE259" s="37">
        <f t="shared" si="264"/>
        <v>0</v>
      </c>
      <c r="AF259" s="37">
        <f t="shared" si="265"/>
        <v>0</v>
      </c>
      <c r="AG259" s="37">
        <f t="shared" si="266"/>
        <v>0</v>
      </c>
      <c r="AH259" s="37">
        <f t="shared" si="267"/>
        <v>0</v>
      </c>
      <c r="AI259" s="35"/>
      <c r="AJ259" s="24">
        <f t="shared" si="268"/>
        <v>0</v>
      </c>
      <c r="AK259" s="24">
        <f t="shared" si="269"/>
        <v>0</v>
      </c>
      <c r="AL259" s="24">
        <f t="shared" si="270"/>
        <v>0</v>
      </c>
      <c r="AN259" s="37">
        <v>21</v>
      </c>
      <c r="AO259" s="37">
        <f>I259*0.530546623794212</f>
        <v>0</v>
      </c>
      <c r="AP259" s="37">
        <f>I259*(1-0.530546623794212)</f>
        <v>0</v>
      </c>
      <c r="AQ259" s="38" t="s">
        <v>13</v>
      </c>
      <c r="AV259" s="37">
        <f t="shared" si="271"/>
        <v>0</v>
      </c>
      <c r="AW259" s="37">
        <f t="shared" si="272"/>
        <v>0</v>
      </c>
      <c r="AX259" s="37">
        <f t="shared" si="273"/>
        <v>0</v>
      </c>
      <c r="AY259" s="40" t="s">
        <v>1215</v>
      </c>
      <c r="AZ259" s="40" t="s">
        <v>1256</v>
      </c>
      <c r="BA259" s="35" t="s">
        <v>1262</v>
      </c>
      <c r="BC259" s="37">
        <f t="shared" si="274"/>
        <v>0</v>
      </c>
      <c r="BD259" s="37">
        <f t="shared" si="275"/>
        <v>0</v>
      </c>
      <c r="BE259" s="37">
        <v>0</v>
      </c>
      <c r="BF259" s="37">
        <f t="shared" si="276"/>
        <v>259</v>
      </c>
      <c r="BH259" s="24">
        <f t="shared" si="277"/>
        <v>0</v>
      </c>
      <c r="BI259" s="24">
        <f t="shared" si="278"/>
        <v>0</v>
      </c>
      <c r="BJ259" s="24">
        <f t="shared" si="279"/>
        <v>0</v>
      </c>
      <c r="BK259" s="24" t="s">
        <v>1267</v>
      </c>
      <c r="BL259" s="37">
        <v>734</v>
      </c>
    </row>
    <row r="260" spans="1:64" x14ac:dyDescent="0.25">
      <c r="A260" s="4" t="s">
        <v>200</v>
      </c>
      <c r="B260" s="14" t="s">
        <v>441</v>
      </c>
      <c r="C260" s="130" t="s">
        <v>930</v>
      </c>
      <c r="D260" s="131"/>
      <c r="E260" s="131"/>
      <c r="F260" s="131"/>
      <c r="G260" s="14" t="s">
        <v>1170</v>
      </c>
      <c r="H260" s="24">
        <v>3</v>
      </c>
      <c r="I260" s="24">
        <v>0</v>
      </c>
      <c r="J260" s="24">
        <f t="shared" si="257"/>
        <v>0</v>
      </c>
      <c r="K260" s="24">
        <f t="shared" si="258"/>
        <v>0</v>
      </c>
      <c r="L260" s="24">
        <f t="shared" si="259"/>
        <v>0</v>
      </c>
      <c r="M260" s="24">
        <v>0</v>
      </c>
      <c r="N260" s="46">
        <f>H260*260</f>
        <v>780</v>
      </c>
      <c r="O260" s="5"/>
      <c r="Z260" s="37">
        <f t="shared" si="260"/>
        <v>0</v>
      </c>
      <c r="AB260" s="37">
        <f t="shared" si="261"/>
        <v>0</v>
      </c>
      <c r="AC260" s="37">
        <f t="shared" si="262"/>
        <v>0</v>
      </c>
      <c r="AD260" s="37">
        <f t="shared" si="263"/>
        <v>0</v>
      </c>
      <c r="AE260" s="37">
        <f t="shared" si="264"/>
        <v>0</v>
      </c>
      <c r="AF260" s="37">
        <f t="shared" si="265"/>
        <v>0</v>
      </c>
      <c r="AG260" s="37">
        <f t="shared" si="266"/>
        <v>0</v>
      </c>
      <c r="AH260" s="37">
        <f t="shared" si="267"/>
        <v>0</v>
      </c>
      <c r="AI260" s="35"/>
      <c r="AJ260" s="24">
        <f t="shared" si="268"/>
        <v>0</v>
      </c>
      <c r="AK260" s="24">
        <f t="shared" si="269"/>
        <v>0</v>
      </c>
      <c r="AL260" s="24">
        <f t="shared" si="270"/>
        <v>0</v>
      </c>
      <c r="AN260" s="37">
        <v>21</v>
      </c>
      <c r="AO260" s="37">
        <f>I260*0.514384349827388</f>
        <v>0</v>
      </c>
      <c r="AP260" s="37">
        <f>I260*(1-0.514384349827388)</f>
        <v>0</v>
      </c>
      <c r="AQ260" s="38" t="s">
        <v>13</v>
      </c>
      <c r="AV260" s="37">
        <f t="shared" si="271"/>
        <v>0</v>
      </c>
      <c r="AW260" s="37">
        <f t="shared" si="272"/>
        <v>0</v>
      </c>
      <c r="AX260" s="37">
        <f t="shared" si="273"/>
        <v>0</v>
      </c>
      <c r="AY260" s="40" t="s">
        <v>1215</v>
      </c>
      <c r="AZ260" s="40" t="s">
        <v>1256</v>
      </c>
      <c r="BA260" s="35" t="s">
        <v>1262</v>
      </c>
      <c r="BC260" s="37">
        <f t="shared" si="274"/>
        <v>0</v>
      </c>
      <c r="BD260" s="37">
        <f t="shared" si="275"/>
        <v>0</v>
      </c>
      <c r="BE260" s="37">
        <v>0</v>
      </c>
      <c r="BF260" s="37">
        <f t="shared" si="276"/>
        <v>780</v>
      </c>
      <c r="BH260" s="24">
        <f t="shared" si="277"/>
        <v>0</v>
      </c>
      <c r="BI260" s="24">
        <f t="shared" si="278"/>
        <v>0</v>
      </c>
      <c r="BJ260" s="24">
        <f t="shared" si="279"/>
        <v>0</v>
      </c>
      <c r="BK260" s="24" t="s">
        <v>1267</v>
      </c>
      <c r="BL260" s="37">
        <v>734</v>
      </c>
    </row>
    <row r="261" spans="1:64" x14ac:dyDescent="0.25">
      <c r="A261" s="4" t="s">
        <v>201</v>
      </c>
      <c r="B261" s="14" t="s">
        <v>531</v>
      </c>
      <c r="C261" s="130" t="s">
        <v>931</v>
      </c>
      <c r="D261" s="131"/>
      <c r="E261" s="131"/>
      <c r="F261" s="131"/>
      <c r="G261" s="14" t="s">
        <v>1170</v>
      </c>
      <c r="H261" s="24">
        <v>20</v>
      </c>
      <c r="I261" s="24">
        <v>0</v>
      </c>
      <c r="J261" s="24">
        <f t="shared" si="257"/>
        <v>0</v>
      </c>
      <c r="K261" s="24">
        <f t="shared" si="258"/>
        <v>0</v>
      </c>
      <c r="L261" s="24">
        <f t="shared" si="259"/>
        <v>0</v>
      </c>
      <c r="M261" s="24">
        <v>1E-3</v>
      </c>
      <c r="N261" s="46">
        <f>H261*261</f>
        <v>5220</v>
      </c>
      <c r="O261" s="5"/>
      <c r="Z261" s="37">
        <f t="shared" si="260"/>
        <v>0</v>
      </c>
      <c r="AB261" s="37">
        <f t="shared" si="261"/>
        <v>0</v>
      </c>
      <c r="AC261" s="37">
        <f t="shared" si="262"/>
        <v>0</v>
      </c>
      <c r="AD261" s="37">
        <f t="shared" si="263"/>
        <v>0</v>
      </c>
      <c r="AE261" s="37">
        <f t="shared" si="264"/>
        <v>0</v>
      </c>
      <c r="AF261" s="37">
        <f t="shared" si="265"/>
        <v>0</v>
      </c>
      <c r="AG261" s="37">
        <f t="shared" si="266"/>
        <v>0</v>
      </c>
      <c r="AH261" s="37">
        <f t="shared" si="267"/>
        <v>0</v>
      </c>
      <c r="AI261" s="35"/>
      <c r="AJ261" s="24">
        <f t="shared" si="268"/>
        <v>0</v>
      </c>
      <c r="AK261" s="24">
        <f t="shared" si="269"/>
        <v>0</v>
      </c>
      <c r="AL261" s="24">
        <f t="shared" si="270"/>
        <v>0</v>
      </c>
      <c r="AN261" s="37">
        <v>21</v>
      </c>
      <c r="AO261" s="37">
        <f>I261*0.427046263345196</f>
        <v>0</v>
      </c>
      <c r="AP261" s="37">
        <f>I261*(1-0.427046263345196)</f>
        <v>0</v>
      </c>
      <c r="AQ261" s="38" t="s">
        <v>13</v>
      </c>
      <c r="AV261" s="37">
        <f t="shared" si="271"/>
        <v>0</v>
      </c>
      <c r="AW261" s="37">
        <f t="shared" si="272"/>
        <v>0</v>
      </c>
      <c r="AX261" s="37">
        <f t="shared" si="273"/>
        <v>0</v>
      </c>
      <c r="AY261" s="40" t="s">
        <v>1215</v>
      </c>
      <c r="AZ261" s="40" t="s">
        <v>1256</v>
      </c>
      <c r="BA261" s="35" t="s">
        <v>1262</v>
      </c>
      <c r="BC261" s="37">
        <f t="shared" si="274"/>
        <v>0</v>
      </c>
      <c r="BD261" s="37">
        <f t="shared" si="275"/>
        <v>0</v>
      </c>
      <c r="BE261" s="37">
        <v>0</v>
      </c>
      <c r="BF261" s="37">
        <f t="shared" si="276"/>
        <v>5220</v>
      </c>
      <c r="BH261" s="24">
        <f t="shared" si="277"/>
        <v>0</v>
      </c>
      <c r="BI261" s="24">
        <f t="shared" si="278"/>
        <v>0</v>
      </c>
      <c r="BJ261" s="24">
        <f t="shared" si="279"/>
        <v>0</v>
      </c>
      <c r="BK261" s="24" t="s">
        <v>1267</v>
      </c>
      <c r="BL261" s="37">
        <v>734</v>
      </c>
    </row>
    <row r="262" spans="1:64" x14ac:dyDescent="0.25">
      <c r="A262" s="4" t="s">
        <v>202</v>
      </c>
      <c r="B262" s="14" t="s">
        <v>532</v>
      </c>
      <c r="C262" s="130" t="s">
        <v>932</v>
      </c>
      <c r="D262" s="131"/>
      <c r="E262" s="131"/>
      <c r="F262" s="131"/>
      <c r="G262" s="14" t="s">
        <v>1170</v>
      </c>
      <c r="H262" s="24">
        <v>6</v>
      </c>
      <c r="I262" s="24">
        <v>0</v>
      </c>
      <c r="J262" s="24">
        <f t="shared" si="257"/>
        <v>0</v>
      </c>
      <c r="K262" s="24">
        <f t="shared" si="258"/>
        <v>0</v>
      </c>
      <c r="L262" s="24">
        <f t="shared" si="259"/>
        <v>0</v>
      </c>
      <c r="M262" s="24">
        <v>4.5199999999999997E-3</v>
      </c>
      <c r="N262" s="46">
        <f>H262*262</f>
        <v>1572</v>
      </c>
      <c r="O262" s="5"/>
      <c r="Z262" s="37">
        <f t="shared" si="260"/>
        <v>0</v>
      </c>
      <c r="AB262" s="37">
        <f t="shared" si="261"/>
        <v>0</v>
      </c>
      <c r="AC262" s="37">
        <f t="shared" si="262"/>
        <v>0</v>
      </c>
      <c r="AD262" s="37">
        <f t="shared" si="263"/>
        <v>0</v>
      </c>
      <c r="AE262" s="37">
        <f t="shared" si="264"/>
        <v>0</v>
      </c>
      <c r="AF262" s="37">
        <f t="shared" si="265"/>
        <v>0</v>
      </c>
      <c r="AG262" s="37">
        <f t="shared" si="266"/>
        <v>0</v>
      </c>
      <c r="AH262" s="37">
        <f t="shared" si="267"/>
        <v>0</v>
      </c>
      <c r="AI262" s="35"/>
      <c r="AJ262" s="24">
        <f t="shared" si="268"/>
        <v>0</v>
      </c>
      <c r="AK262" s="24">
        <f t="shared" si="269"/>
        <v>0</v>
      </c>
      <c r="AL262" s="24">
        <f t="shared" si="270"/>
        <v>0</v>
      </c>
      <c r="AN262" s="37">
        <v>21</v>
      </c>
      <c r="AO262" s="37">
        <f>I262*0.51017834624392</f>
        <v>0</v>
      </c>
      <c r="AP262" s="37">
        <f>I262*(1-0.51017834624392)</f>
        <v>0</v>
      </c>
      <c r="AQ262" s="38" t="s">
        <v>13</v>
      </c>
      <c r="AV262" s="37">
        <f t="shared" si="271"/>
        <v>0</v>
      </c>
      <c r="AW262" s="37">
        <f t="shared" si="272"/>
        <v>0</v>
      </c>
      <c r="AX262" s="37">
        <f t="shared" si="273"/>
        <v>0</v>
      </c>
      <c r="AY262" s="40" t="s">
        <v>1215</v>
      </c>
      <c r="AZ262" s="40" t="s">
        <v>1256</v>
      </c>
      <c r="BA262" s="35" t="s">
        <v>1262</v>
      </c>
      <c r="BC262" s="37">
        <f t="shared" si="274"/>
        <v>0</v>
      </c>
      <c r="BD262" s="37">
        <f t="shared" si="275"/>
        <v>0</v>
      </c>
      <c r="BE262" s="37">
        <v>0</v>
      </c>
      <c r="BF262" s="37">
        <f t="shared" si="276"/>
        <v>1572</v>
      </c>
      <c r="BH262" s="24">
        <f t="shared" si="277"/>
        <v>0</v>
      </c>
      <c r="BI262" s="24">
        <f t="shared" si="278"/>
        <v>0</v>
      </c>
      <c r="BJ262" s="24">
        <f t="shared" si="279"/>
        <v>0</v>
      </c>
      <c r="BK262" s="24" t="s">
        <v>1267</v>
      </c>
      <c r="BL262" s="37">
        <v>734</v>
      </c>
    </row>
    <row r="263" spans="1:64" x14ac:dyDescent="0.25">
      <c r="A263" s="6"/>
      <c r="B263" s="15" t="s">
        <v>533</v>
      </c>
      <c r="C263" s="132" t="s">
        <v>933</v>
      </c>
      <c r="D263" s="133"/>
      <c r="E263" s="133"/>
      <c r="F263" s="133"/>
      <c r="G263" s="22" t="s">
        <v>6</v>
      </c>
      <c r="H263" s="22" t="s">
        <v>6</v>
      </c>
      <c r="I263" s="22" t="s">
        <v>6</v>
      </c>
      <c r="J263" s="43">
        <f>SUM(J264:J264)</f>
        <v>0</v>
      </c>
      <c r="K263" s="43">
        <f>SUM(K264:K264)</f>
        <v>0</v>
      </c>
      <c r="L263" s="43">
        <f>SUM(L264:L264)</f>
        <v>0</v>
      </c>
      <c r="M263" s="35"/>
      <c r="N263" s="47">
        <f>SUM(N264:N264)</f>
        <v>298584</v>
      </c>
      <c r="O263" s="5"/>
      <c r="AI263" s="35"/>
      <c r="AS263" s="43">
        <f>SUM(AJ264:AJ264)</f>
        <v>0</v>
      </c>
      <c r="AT263" s="43">
        <f>SUM(AK264:AK264)</f>
        <v>0</v>
      </c>
      <c r="AU263" s="43">
        <f>SUM(AL264:AL264)</f>
        <v>0</v>
      </c>
    </row>
    <row r="264" spans="1:64" x14ac:dyDescent="0.25">
      <c r="A264" s="4" t="s">
        <v>203</v>
      </c>
      <c r="B264" s="14" t="s">
        <v>534</v>
      </c>
      <c r="C264" s="130" t="s">
        <v>934</v>
      </c>
      <c r="D264" s="131"/>
      <c r="E264" s="131"/>
      <c r="F264" s="131"/>
      <c r="G264" s="14" t="s">
        <v>1169</v>
      </c>
      <c r="H264" s="24">
        <v>1131</v>
      </c>
      <c r="I264" s="24">
        <v>0</v>
      </c>
      <c r="J264" s="24">
        <f>H264*AO264</f>
        <v>0</v>
      </c>
      <c r="K264" s="24">
        <f>H264*AP264</f>
        <v>0</v>
      </c>
      <c r="L264" s="24">
        <f>H264*I264</f>
        <v>0</v>
      </c>
      <c r="M264" s="24">
        <v>0</v>
      </c>
      <c r="N264" s="46">
        <f>H264*264</f>
        <v>298584</v>
      </c>
      <c r="O264" s="5"/>
      <c r="Z264" s="37">
        <f>IF(AQ264="5",BJ264,0)</f>
        <v>0</v>
      </c>
      <c r="AB264" s="37">
        <f>IF(AQ264="1",BH264,0)</f>
        <v>0</v>
      </c>
      <c r="AC264" s="37">
        <f>IF(AQ264="1",BI264,0)</f>
        <v>0</v>
      </c>
      <c r="AD264" s="37">
        <f>IF(AQ264="7",BH264,0)</f>
        <v>0</v>
      </c>
      <c r="AE264" s="37">
        <f>IF(AQ264="7",BI264,0)</f>
        <v>0</v>
      </c>
      <c r="AF264" s="37">
        <f>IF(AQ264="2",BH264,0)</f>
        <v>0</v>
      </c>
      <c r="AG264" s="37">
        <f>IF(AQ264="2",BI264,0)</f>
        <v>0</v>
      </c>
      <c r="AH264" s="37">
        <f>IF(AQ264="0",BJ264,0)</f>
        <v>0</v>
      </c>
      <c r="AI264" s="35"/>
      <c r="AJ264" s="24">
        <f>IF(AN264=0,L264,0)</f>
        <v>0</v>
      </c>
      <c r="AK264" s="24">
        <f>IF(AN264=15,L264,0)</f>
        <v>0</v>
      </c>
      <c r="AL264" s="24">
        <f>IF(AN264=21,L264,0)</f>
        <v>0</v>
      </c>
      <c r="AN264" s="37">
        <v>21</v>
      </c>
      <c r="AO264" s="37">
        <f>I264*0.0313948646773074</f>
        <v>0</v>
      </c>
      <c r="AP264" s="37">
        <f>I264*(1-0.0313948646773074)</f>
        <v>0</v>
      </c>
      <c r="AQ264" s="38" t="s">
        <v>13</v>
      </c>
      <c r="AV264" s="37">
        <f>AW264+AX264</f>
        <v>0</v>
      </c>
      <c r="AW264" s="37">
        <f>H264*AO264</f>
        <v>0</v>
      </c>
      <c r="AX264" s="37">
        <f>H264*AP264</f>
        <v>0</v>
      </c>
      <c r="AY264" s="40" t="s">
        <v>1216</v>
      </c>
      <c r="AZ264" s="40" t="s">
        <v>1256</v>
      </c>
      <c r="BA264" s="35" t="s">
        <v>1262</v>
      </c>
      <c r="BC264" s="37">
        <f>AW264+AX264</f>
        <v>0</v>
      </c>
      <c r="BD264" s="37">
        <f>I264/(100-BE264)*100</f>
        <v>0</v>
      </c>
      <c r="BE264" s="37">
        <v>0</v>
      </c>
      <c r="BF264" s="37">
        <f>N264</f>
        <v>298584</v>
      </c>
      <c r="BH264" s="24">
        <f>H264*AO264</f>
        <v>0</v>
      </c>
      <c r="BI264" s="24">
        <f>H264*AP264</f>
        <v>0</v>
      </c>
      <c r="BJ264" s="24">
        <f>H264*I264</f>
        <v>0</v>
      </c>
      <c r="BK264" s="24" t="s">
        <v>1267</v>
      </c>
      <c r="BL264" s="37">
        <v>735</v>
      </c>
    </row>
    <row r="265" spans="1:64" x14ac:dyDescent="0.25">
      <c r="A265" s="5"/>
      <c r="C265" s="18" t="s">
        <v>935</v>
      </c>
      <c r="F265" s="20" t="s">
        <v>1146</v>
      </c>
      <c r="H265" s="25">
        <v>1131</v>
      </c>
      <c r="N265" s="36"/>
      <c r="O265" s="5"/>
    </row>
    <row r="266" spans="1:64" x14ac:dyDescent="0.25">
      <c r="A266" s="6"/>
      <c r="B266" s="15" t="s">
        <v>535</v>
      </c>
      <c r="C266" s="132" t="s">
        <v>936</v>
      </c>
      <c r="D266" s="133"/>
      <c r="E266" s="133"/>
      <c r="F266" s="133"/>
      <c r="G266" s="22" t="s">
        <v>6</v>
      </c>
      <c r="H266" s="22" t="s">
        <v>6</v>
      </c>
      <c r="I266" s="22" t="s">
        <v>6</v>
      </c>
      <c r="J266" s="43">
        <f>SUM(J267:J268)</f>
        <v>0</v>
      </c>
      <c r="K266" s="43">
        <f>SUM(K267:K268)</f>
        <v>0</v>
      </c>
      <c r="L266" s="43">
        <f>SUM(L267:L268)</f>
        <v>0</v>
      </c>
      <c r="M266" s="35"/>
      <c r="N266" s="47">
        <f>SUM(N267:N268)</f>
        <v>642</v>
      </c>
      <c r="O266" s="5"/>
      <c r="AI266" s="35"/>
      <c r="AS266" s="43">
        <f>SUM(AJ267:AJ268)</f>
        <v>0</v>
      </c>
      <c r="AT266" s="43">
        <f>SUM(AK267:AK268)</f>
        <v>0</v>
      </c>
      <c r="AU266" s="43">
        <f>SUM(AL267:AL268)</f>
        <v>0</v>
      </c>
    </row>
    <row r="267" spans="1:64" x14ac:dyDescent="0.25">
      <c r="A267" s="4" t="s">
        <v>204</v>
      </c>
      <c r="B267" s="14" t="s">
        <v>536</v>
      </c>
      <c r="C267" s="130" t="s">
        <v>937</v>
      </c>
      <c r="D267" s="131"/>
      <c r="E267" s="131"/>
      <c r="F267" s="131"/>
      <c r="G267" s="14" t="s">
        <v>1169</v>
      </c>
      <c r="H267" s="24">
        <v>1.2</v>
      </c>
      <c r="I267" s="24">
        <v>0</v>
      </c>
      <c r="J267" s="24">
        <f>H267*AO267</f>
        <v>0</v>
      </c>
      <c r="K267" s="24">
        <f>H267*AP267</f>
        <v>0</v>
      </c>
      <c r="L267" s="24">
        <f>H267*I267</f>
        <v>0</v>
      </c>
      <c r="M267" s="24">
        <v>1.235E-2</v>
      </c>
      <c r="N267" s="46">
        <f>H267*267</f>
        <v>320.39999999999998</v>
      </c>
      <c r="O267" s="5"/>
      <c r="Z267" s="37">
        <f>IF(AQ267="5",BJ267,0)</f>
        <v>0</v>
      </c>
      <c r="AB267" s="37">
        <f>IF(AQ267="1",BH267,0)</f>
        <v>0</v>
      </c>
      <c r="AC267" s="37">
        <f>IF(AQ267="1",BI267,0)</f>
        <v>0</v>
      </c>
      <c r="AD267" s="37">
        <f>IF(AQ267="7",BH267,0)</f>
        <v>0</v>
      </c>
      <c r="AE267" s="37">
        <f>IF(AQ267="7",BI267,0)</f>
        <v>0</v>
      </c>
      <c r="AF267" s="37">
        <f>IF(AQ267="2",BH267,0)</f>
        <v>0</v>
      </c>
      <c r="AG267" s="37">
        <f>IF(AQ267="2",BI267,0)</f>
        <v>0</v>
      </c>
      <c r="AH267" s="37">
        <f>IF(AQ267="0",BJ267,0)</f>
        <v>0</v>
      </c>
      <c r="AI267" s="35"/>
      <c r="AJ267" s="24">
        <f>IF(AN267=0,L267,0)</f>
        <v>0</v>
      </c>
      <c r="AK267" s="24">
        <f>IF(AN267=15,L267,0)</f>
        <v>0</v>
      </c>
      <c r="AL267" s="24">
        <f>IF(AN267=21,L267,0)</f>
        <v>0</v>
      </c>
      <c r="AN267" s="37">
        <v>21</v>
      </c>
      <c r="AO267" s="37">
        <f>I267*0.553736842105263</f>
        <v>0</v>
      </c>
      <c r="AP267" s="37">
        <f>I267*(1-0.553736842105263)</f>
        <v>0</v>
      </c>
      <c r="AQ267" s="38" t="s">
        <v>13</v>
      </c>
      <c r="AV267" s="37">
        <f>AW267+AX267</f>
        <v>0</v>
      </c>
      <c r="AW267" s="37">
        <f>H267*AO267</f>
        <v>0</v>
      </c>
      <c r="AX267" s="37">
        <f>H267*AP267</f>
        <v>0</v>
      </c>
      <c r="AY267" s="40" t="s">
        <v>1217</v>
      </c>
      <c r="AZ267" s="40" t="s">
        <v>1257</v>
      </c>
      <c r="BA267" s="35" t="s">
        <v>1262</v>
      </c>
      <c r="BC267" s="37">
        <f>AW267+AX267</f>
        <v>0</v>
      </c>
      <c r="BD267" s="37">
        <f>I267/(100-BE267)*100</f>
        <v>0</v>
      </c>
      <c r="BE267" s="37">
        <v>0</v>
      </c>
      <c r="BF267" s="37">
        <f>N267</f>
        <v>320.39999999999998</v>
      </c>
      <c r="BH267" s="24">
        <f>H267*AO267</f>
        <v>0</v>
      </c>
      <c r="BI267" s="24">
        <f>H267*AP267</f>
        <v>0</v>
      </c>
      <c r="BJ267" s="24">
        <f>H267*I267</f>
        <v>0</v>
      </c>
      <c r="BK267" s="24" t="s">
        <v>1267</v>
      </c>
      <c r="BL267" s="37">
        <v>762</v>
      </c>
    </row>
    <row r="268" spans="1:64" x14ac:dyDescent="0.25">
      <c r="A268" s="4" t="s">
        <v>205</v>
      </c>
      <c r="B268" s="14" t="s">
        <v>537</v>
      </c>
      <c r="C268" s="130" t="s">
        <v>938</v>
      </c>
      <c r="D268" s="131"/>
      <c r="E268" s="131"/>
      <c r="F268" s="131"/>
      <c r="G268" s="14" t="s">
        <v>1169</v>
      </c>
      <c r="H268" s="24">
        <v>1.2</v>
      </c>
      <c r="I268" s="24">
        <v>0</v>
      </c>
      <c r="J268" s="24">
        <f>H268*AO268</f>
        <v>0</v>
      </c>
      <c r="K268" s="24">
        <f>H268*AP268</f>
        <v>0</v>
      </c>
      <c r="L268" s="24">
        <f>H268*I268</f>
        <v>0</v>
      </c>
      <c r="M268" s="24">
        <v>1.6000000000000001E-4</v>
      </c>
      <c r="N268" s="46">
        <f>H268*268</f>
        <v>321.59999999999997</v>
      </c>
      <c r="O268" s="5"/>
      <c r="Z268" s="37">
        <f>IF(AQ268="5",BJ268,0)</f>
        <v>0</v>
      </c>
      <c r="AB268" s="37">
        <f>IF(AQ268="1",BH268,0)</f>
        <v>0</v>
      </c>
      <c r="AC268" s="37">
        <f>IF(AQ268="1",BI268,0)</f>
        <v>0</v>
      </c>
      <c r="AD268" s="37">
        <f>IF(AQ268="7",BH268,0)</f>
        <v>0</v>
      </c>
      <c r="AE268" s="37">
        <f>IF(AQ268="7",BI268,0)</f>
        <v>0</v>
      </c>
      <c r="AF268" s="37">
        <f>IF(AQ268="2",BH268,0)</f>
        <v>0</v>
      </c>
      <c r="AG268" s="37">
        <f>IF(AQ268="2",BI268,0)</f>
        <v>0</v>
      </c>
      <c r="AH268" s="37">
        <f>IF(AQ268="0",BJ268,0)</f>
        <v>0</v>
      </c>
      <c r="AI268" s="35"/>
      <c r="AJ268" s="24">
        <f>IF(AN268=0,L268,0)</f>
        <v>0</v>
      </c>
      <c r="AK268" s="24">
        <f>IF(AN268=15,L268,0)</f>
        <v>0</v>
      </c>
      <c r="AL268" s="24">
        <f>IF(AN268=21,L268,0)</f>
        <v>0</v>
      </c>
      <c r="AN268" s="37">
        <v>21</v>
      </c>
      <c r="AO268" s="37">
        <f>I268*0.0667012987012987</f>
        <v>0</v>
      </c>
      <c r="AP268" s="37">
        <f>I268*(1-0.0667012987012987)</f>
        <v>0</v>
      </c>
      <c r="AQ268" s="38" t="s">
        <v>13</v>
      </c>
      <c r="AV268" s="37">
        <f>AW268+AX268</f>
        <v>0</v>
      </c>
      <c r="AW268" s="37">
        <f>H268*AO268</f>
        <v>0</v>
      </c>
      <c r="AX268" s="37">
        <f>H268*AP268</f>
        <v>0</v>
      </c>
      <c r="AY268" s="40" t="s">
        <v>1217</v>
      </c>
      <c r="AZ268" s="40" t="s">
        <v>1257</v>
      </c>
      <c r="BA268" s="35" t="s">
        <v>1262</v>
      </c>
      <c r="BC268" s="37">
        <f>AW268+AX268</f>
        <v>0</v>
      </c>
      <c r="BD268" s="37">
        <f>I268/(100-BE268)*100</f>
        <v>0</v>
      </c>
      <c r="BE268" s="37">
        <v>0</v>
      </c>
      <c r="BF268" s="37">
        <f>N268</f>
        <v>321.59999999999997</v>
      </c>
      <c r="BH268" s="24">
        <f>H268*AO268</f>
        <v>0</v>
      </c>
      <c r="BI268" s="24">
        <f>H268*AP268</f>
        <v>0</v>
      </c>
      <c r="BJ268" s="24">
        <f>H268*I268</f>
        <v>0</v>
      </c>
      <c r="BK268" s="24" t="s">
        <v>1267</v>
      </c>
      <c r="BL268" s="37">
        <v>762</v>
      </c>
    </row>
    <row r="269" spans="1:64" x14ac:dyDescent="0.25">
      <c r="A269" s="6"/>
      <c r="B269" s="15" t="s">
        <v>538</v>
      </c>
      <c r="C269" s="132" t="s">
        <v>939</v>
      </c>
      <c r="D269" s="133"/>
      <c r="E269" s="133"/>
      <c r="F269" s="133"/>
      <c r="G269" s="22" t="s">
        <v>6</v>
      </c>
      <c r="H269" s="22" t="s">
        <v>6</v>
      </c>
      <c r="I269" s="22" t="s">
        <v>6</v>
      </c>
      <c r="J269" s="43">
        <f>SUM(J270:J270)</f>
        <v>0</v>
      </c>
      <c r="K269" s="43">
        <f>SUM(K270:K270)</f>
        <v>0</v>
      </c>
      <c r="L269" s="43">
        <f>SUM(L270:L270)</f>
        <v>0</v>
      </c>
      <c r="M269" s="35"/>
      <c r="N269" s="47">
        <f>SUM(N270:N270)</f>
        <v>270</v>
      </c>
      <c r="O269" s="5"/>
      <c r="AI269" s="35"/>
      <c r="AS269" s="43">
        <f>SUM(AJ270:AJ270)</f>
        <v>0</v>
      </c>
      <c r="AT269" s="43">
        <f>SUM(AK270:AK270)</f>
        <v>0</v>
      </c>
      <c r="AU269" s="43">
        <f>SUM(AL270:AL270)</f>
        <v>0</v>
      </c>
    </row>
    <row r="270" spans="1:64" x14ac:dyDescent="0.25">
      <c r="A270" s="4" t="s">
        <v>206</v>
      </c>
      <c r="B270" s="14" t="s">
        <v>539</v>
      </c>
      <c r="C270" s="130" t="s">
        <v>940</v>
      </c>
      <c r="D270" s="131"/>
      <c r="E270" s="131"/>
      <c r="F270" s="131"/>
      <c r="G270" s="14" t="s">
        <v>1170</v>
      </c>
      <c r="H270" s="24">
        <v>1</v>
      </c>
      <c r="I270" s="24">
        <v>0</v>
      </c>
      <c r="J270" s="24">
        <f>H270*AO270</f>
        <v>0</v>
      </c>
      <c r="K270" s="24">
        <f>H270*AP270</f>
        <v>0</v>
      </c>
      <c r="L270" s="24">
        <f>H270*I270</f>
        <v>0</v>
      </c>
      <c r="M270" s="24">
        <v>9.5999999999999992E-3</v>
      </c>
      <c r="N270" s="46">
        <f>H270*270</f>
        <v>270</v>
      </c>
      <c r="O270" s="5"/>
      <c r="Z270" s="37">
        <f>IF(AQ270="5",BJ270,0)</f>
        <v>0</v>
      </c>
      <c r="AB270" s="37">
        <f>IF(AQ270="1",BH270,0)</f>
        <v>0</v>
      </c>
      <c r="AC270" s="37">
        <f>IF(AQ270="1",BI270,0)</f>
        <v>0</v>
      </c>
      <c r="AD270" s="37">
        <f>IF(AQ270="7",BH270,0)</f>
        <v>0</v>
      </c>
      <c r="AE270" s="37">
        <f>IF(AQ270="7",BI270,0)</f>
        <v>0</v>
      </c>
      <c r="AF270" s="37">
        <f>IF(AQ270="2",BH270,0)</f>
        <v>0</v>
      </c>
      <c r="AG270" s="37">
        <f>IF(AQ270="2",BI270,0)</f>
        <v>0</v>
      </c>
      <c r="AH270" s="37">
        <f>IF(AQ270="0",BJ270,0)</f>
        <v>0</v>
      </c>
      <c r="AI270" s="35"/>
      <c r="AJ270" s="24">
        <f>IF(AN270=0,L270,0)</f>
        <v>0</v>
      </c>
      <c r="AK270" s="24">
        <f>IF(AN270=15,L270,0)</f>
        <v>0</v>
      </c>
      <c r="AL270" s="24">
        <f>IF(AN270=21,L270,0)</f>
        <v>0</v>
      </c>
      <c r="AN270" s="37">
        <v>21</v>
      </c>
      <c r="AO270" s="37">
        <f>I270*0.781822943949712</f>
        <v>0</v>
      </c>
      <c r="AP270" s="37">
        <f>I270*(1-0.781822943949712)</f>
        <v>0</v>
      </c>
      <c r="AQ270" s="38" t="s">
        <v>13</v>
      </c>
      <c r="AV270" s="37">
        <f>AW270+AX270</f>
        <v>0</v>
      </c>
      <c r="AW270" s="37">
        <f>H270*AO270</f>
        <v>0</v>
      </c>
      <c r="AX270" s="37">
        <f>H270*AP270</f>
        <v>0</v>
      </c>
      <c r="AY270" s="40" t="s">
        <v>1218</v>
      </c>
      <c r="AZ270" s="40" t="s">
        <v>1257</v>
      </c>
      <c r="BA270" s="35" t="s">
        <v>1262</v>
      </c>
      <c r="BC270" s="37">
        <f>AW270+AX270</f>
        <v>0</v>
      </c>
      <c r="BD270" s="37">
        <f>I270/(100-BE270)*100</f>
        <v>0</v>
      </c>
      <c r="BE270" s="37">
        <v>0</v>
      </c>
      <c r="BF270" s="37">
        <f>N270</f>
        <v>270</v>
      </c>
      <c r="BH270" s="24">
        <f>H270*AO270</f>
        <v>0</v>
      </c>
      <c r="BI270" s="24">
        <f>H270*AP270</f>
        <v>0</v>
      </c>
      <c r="BJ270" s="24">
        <f>H270*I270</f>
        <v>0</v>
      </c>
      <c r="BK270" s="24" t="s">
        <v>1267</v>
      </c>
      <c r="BL270" s="37">
        <v>764</v>
      </c>
    </row>
    <row r="271" spans="1:64" x14ac:dyDescent="0.25">
      <c r="A271" s="6"/>
      <c r="B271" s="15" t="s">
        <v>540</v>
      </c>
      <c r="C271" s="132" t="s">
        <v>941</v>
      </c>
      <c r="D271" s="133"/>
      <c r="E271" s="133"/>
      <c r="F271" s="133"/>
      <c r="G271" s="22" t="s">
        <v>6</v>
      </c>
      <c r="H271" s="22" t="s">
        <v>6</v>
      </c>
      <c r="I271" s="22" t="s">
        <v>6</v>
      </c>
      <c r="J271" s="43">
        <f>SUM(J272:J295)</f>
        <v>0</v>
      </c>
      <c r="K271" s="43">
        <f>SUM(K272:K295)</f>
        <v>0</v>
      </c>
      <c r="L271" s="43">
        <f>SUM(L272:L295)</f>
        <v>0</v>
      </c>
      <c r="M271" s="35"/>
      <c r="N271" s="47">
        <f>SUM(N272:N295)</f>
        <v>46341</v>
      </c>
      <c r="O271" s="5"/>
      <c r="AI271" s="35"/>
      <c r="AS271" s="43">
        <f>SUM(AJ272:AJ295)</f>
        <v>0</v>
      </c>
      <c r="AT271" s="43">
        <f>SUM(AK272:AK295)</f>
        <v>0</v>
      </c>
      <c r="AU271" s="43">
        <f>SUM(AL272:AL295)</f>
        <v>0</v>
      </c>
    </row>
    <row r="272" spans="1:64" x14ac:dyDescent="0.25">
      <c r="A272" s="4" t="s">
        <v>207</v>
      </c>
      <c r="B272" s="14" t="s">
        <v>541</v>
      </c>
      <c r="C272" s="130" t="s">
        <v>942</v>
      </c>
      <c r="D272" s="131"/>
      <c r="E272" s="131"/>
      <c r="F272" s="131"/>
      <c r="G272" s="14" t="s">
        <v>1170</v>
      </c>
      <c r="H272" s="24">
        <v>1</v>
      </c>
      <c r="I272" s="24">
        <v>0</v>
      </c>
      <c r="J272" s="24">
        <f>H272*AO272</f>
        <v>0</v>
      </c>
      <c r="K272" s="24">
        <f>H272*AP272</f>
        <v>0</v>
      </c>
      <c r="L272" s="24">
        <f>H272*I272</f>
        <v>0</v>
      </c>
      <c r="M272" s="24">
        <v>1.0000000000000001E-5</v>
      </c>
      <c r="N272" s="46">
        <f>H272*272</f>
        <v>272</v>
      </c>
      <c r="O272" s="5"/>
      <c r="Z272" s="37">
        <f>IF(AQ272="5",BJ272,0)</f>
        <v>0</v>
      </c>
      <c r="AB272" s="37">
        <f>IF(AQ272="1",BH272,0)</f>
        <v>0</v>
      </c>
      <c r="AC272" s="37">
        <f>IF(AQ272="1",BI272,0)</f>
        <v>0</v>
      </c>
      <c r="AD272" s="37">
        <f>IF(AQ272="7",BH272,0)</f>
        <v>0</v>
      </c>
      <c r="AE272" s="37">
        <f>IF(AQ272="7",BI272,0)</f>
        <v>0</v>
      </c>
      <c r="AF272" s="37">
        <f>IF(AQ272="2",BH272,0)</f>
        <v>0</v>
      </c>
      <c r="AG272" s="37">
        <f>IF(AQ272="2",BI272,0)</f>
        <v>0</v>
      </c>
      <c r="AH272" s="37">
        <f>IF(AQ272="0",BJ272,0)</f>
        <v>0</v>
      </c>
      <c r="AI272" s="35"/>
      <c r="AJ272" s="24">
        <f>IF(AN272=0,L272,0)</f>
        <v>0</v>
      </c>
      <c r="AK272" s="24">
        <f>IF(AN272=15,L272,0)</f>
        <v>0</v>
      </c>
      <c r="AL272" s="24">
        <f>IF(AN272=21,L272,0)</f>
        <v>0</v>
      </c>
      <c r="AN272" s="37">
        <v>21</v>
      </c>
      <c r="AO272" s="37">
        <f>I272*0.9254327563249</f>
        <v>0</v>
      </c>
      <c r="AP272" s="37">
        <f>I272*(1-0.9254327563249)</f>
        <v>0</v>
      </c>
      <c r="AQ272" s="38" t="s">
        <v>13</v>
      </c>
      <c r="AV272" s="37">
        <f>AW272+AX272</f>
        <v>0</v>
      </c>
      <c r="AW272" s="37">
        <f>H272*AO272</f>
        <v>0</v>
      </c>
      <c r="AX272" s="37">
        <f>H272*AP272</f>
        <v>0</v>
      </c>
      <c r="AY272" s="40" t="s">
        <v>1219</v>
      </c>
      <c r="AZ272" s="40" t="s">
        <v>1257</v>
      </c>
      <c r="BA272" s="35" t="s">
        <v>1262</v>
      </c>
      <c r="BC272" s="37">
        <f>AW272+AX272</f>
        <v>0</v>
      </c>
      <c r="BD272" s="37">
        <f>I272/(100-BE272)*100</f>
        <v>0</v>
      </c>
      <c r="BE272" s="37">
        <v>0</v>
      </c>
      <c r="BF272" s="37">
        <f>N272</f>
        <v>272</v>
      </c>
      <c r="BH272" s="24">
        <f>H272*AO272</f>
        <v>0</v>
      </c>
      <c r="BI272" s="24">
        <f>H272*AP272</f>
        <v>0</v>
      </c>
      <c r="BJ272" s="24">
        <f>H272*I272</f>
        <v>0</v>
      </c>
      <c r="BK272" s="24" t="s">
        <v>1267</v>
      </c>
      <c r="BL272" s="37">
        <v>767</v>
      </c>
    </row>
    <row r="273" spans="1:64" x14ac:dyDescent="0.25">
      <c r="A273" s="4" t="s">
        <v>208</v>
      </c>
      <c r="B273" s="14" t="s">
        <v>542</v>
      </c>
      <c r="C273" s="130" t="s">
        <v>943</v>
      </c>
      <c r="D273" s="131"/>
      <c r="E273" s="131"/>
      <c r="F273" s="131"/>
      <c r="G273" s="14" t="s">
        <v>1170</v>
      </c>
      <c r="H273" s="24">
        <v>1</v>
      </c>
      <c r="I273" s="24">
        <v>0</v>
      </c>
      <c r="J273" s="24">
        <f>H273*AO273</f>
        <v>0</v>
      </c>
      <c r="K273" s="24">
        <f>H273*AP273</f>
        <v>0</v>
      </c>
      <c r="L273" s="24">
        <f>H273*I273</f>
        <v>0</v>
      </c>
      <c r="M273" s="24">
        <v>8.0000000000000002E-3</v>
      </c>
      <c r="N273" s="46">
        <f>H273*273</f>
        <v>273</v>
      </c>
      <c r="O273" s="5"/>
      <c r="Z273" s="37">
        <f>IF(AQ273="5",BJ273,0)</f>
        <v>0</v>
      </c>
      <c r="AB273" s="37">
        <f>IF(AQ273="1",BH273,0)</f>
        <v>0</v>
      </c>
      <c r="AC273" s="37">
        <f>IF(AQ273="1",BI273,0)</f>
        <v>0</v>
      </c>
      <c r="AD273" s="37">
        <f>IF(AQ273="7",BH273,0)</f>
        <v>0</v>
      </c>
      <c r="AE273" s="37">
        <f>IF(AQ273="7",BI273,0)</f>
        <v>0</v>
      </c>
      <c r="AF273" s="37">
        <f>IF(AQ273="2",BH273,0)</f>
        <v>0</v>
      </c>
      <c r="AG273" s="37">
        <f>IF(AQ273="2",BI273,0)</f>
        <v>0</v>
      </c>
      <c r="AH273" s="37">
        <f>IF(AQ273="0",BJ273,0)</f>
        <v>0</v>
      </c>
      <c r="AI273" s="35"/>
      <c r="AJ273" s="24">
        <f>IF(AN273=0,L273,0)</f>
        <v>0</v>
      </c>
      <c r="AK273" s="24">
        <f>IF(AN273=15,L273,0)</f>
        <v>0</v>
      </c>
      <c r="AL273" s="24">
        <f>IF(AN273=21,L273,0)</f>
        <v>0</v>
      </c>
      <c r="AN273" s="37">
        <v>21</v>
      </c>
      <c r="AO273" s="37">
        <f>I273*0.781344639612356</f>
        <v>0</v>
      </c>
      <c r="AP273" s="37">
        <f>I273*(1-0.781344639612356)</f>
        <v>0</v>
      </c>
      <c r="AQ273" s="38" t="s">
        <v>13</v>
      </c>
      <c r="AV273" s="37">
        <f>AW273+AX273</f>
        <v>0</v>
      </c>
      <c r="AW273" s="37">
        <f>H273*AO273</f>
        <v>0</v>
      </c>
      <c r="AX273" s="37">
        <f>H273*AP273</f>
        <v>0</v>
      </c>
      <c r="AY273" s="40" t="s">
        <v>1219</v>
      </c>
      <c r="AZ273" s="40" t="s">
        <v>1257</v>
      </c>
      <c r="BA273" s="35" t="s">
        <v>1262</v>
      </c>
      <c r="BC273" s="37">
        <f>AW273+AX273</f>
        <v>0</v>
      </c>
      <c r="BD273" s="37">
        <f>I273/(100-BE273)*100</f>
        <v>0</v>
      </c>
      <c r="BE273" s="37">
        <v>0</v>
      </c>
      <c r="BF273" s="37">
        <f>N273</f>
        <v>273</v>
      </c>
      <c r="BH273" s="24">
        <f>H273*AO273</f>
        <v>0</v>
      </c>
      <c r="BI273" s="24">
        <f>H273*AP273</f>
        <v>0</v>
      </c>
      <c r="BJ273" s="24">
        <f>H273*I273</f>
        <v>0</v>
      </c>
      <c r="BK273" s="24" t="s">
        <v>1267</v>
      </c>
      <c r="BL273" s="37">
        <v>767</v>
      </c>
    </row>
    <row r="274" spans="1:64" x14ac:dyDescent="0.25">
      <c r="A274" s="4" t="s">
        <v>209</v>
      </c>
      <c r="B274" s="14" t="s">
        <v>543</v>
      </c>
      <c r="C274" s="130" t="s">
        <v>944</v>
      </c>
      <c r="D274" s="131"/>
      <c r="E274" s="131"/>
      <c r="F274" s="131"/>
      <c r="G274" s="14" t="s">
        <v>1165</v>
      </c>
      <c r="H274" s="24">
        <v>32</v>
      </c>
      <c r="I274" s="24">
        <v>0</v>
      </c>
      <c r="J274" s="24">
        <f>H274*AO274</f>
        <v>0</v>
      </c>
      <c r="K274" s="24">
        <f>H274*AP274</f>
        <v>0</v>
      </c>
      <c r="L274" s="24">
        <f>H274*I274</f>
        <v>0</v>
      </c>
      <c r="M274" s="24">
        <v>0</v>
      </c>
      <c r="N274" s="46">
        <f>H274*274</f>
        <v>8768</v>
      </c>
      <c r="O274" s="5"/>
      <c r="Z274" s="37">
        <f>IF(AQ274="5",BJ274,0)</f>
        <v>0</v>
      </c>
      <c r="AB274" s="37">
        <f>IF(AQ274="1",BH274,0)</f>
        <v>0</v>
      </c>
      <c r="AC274" s="37">
        <f>IF(AQ274="1",BI274,0)</f>
        <v>0</v>
      </c>
      <c r="AD274" s="37">
        <f>IF(AQ274="7",BH274,0)</f>
        <v>0</v>
      </c>
      <c r="AE274" s="37">
        <f>IF(AQ274="7",BI274,0)</f>
        <v>0</v>
      </c>
      <c r="AF274" s="37">
        <f>IF(AQ274="2",BH274,0)</f>
        <v>0</v>
      </c>
      <c r="AG274" s="37">
        <f>IF(AQ274="2",BI274,0)</f>
        <v>0</v>
      </c>
      <c r="AH274" s="37">
        <f>IF(AQ274="0",BJ274,0)</f>
        <v>0</v>
      </c>
      <c r="AI274" s="35"/>
      <c r="AJ274" s="24">
        <f>IF(AN274=0,L274,0)</f>
        <v>0</v>
      </c>
      <c r="AK274" s="24">
        <f>IF(AN274=15,L274,0)</f>
        <v>0</v>
      </c>
      <c r="AL274" s="24">
        <f>IF(AN274=21,L274,0)</f>
        <v>0</v>
      </c>
      <c r="AN274" s="37">
        <v>21</v>
      </c>
      <c r="AO274" s="37">
        <f>I274*0</f>
        <v>0</v>
      </c>
      <c r="AP274" s="37">
        <f>I274*(1-0)</f>
        <v>0</v>
      </c>
      <c r="AQ274" s="38" t="s">
        <v>13</v>
      </c>
      <c r="AV274" s="37">
        <f>AW274+AX274</f>
        <v>0</v>
      </c>
      <c r="AW274" s="37">
        <f>H274*AO274</f>
        <v>0</v>
      </c>
      <c r="AX274" s="37">
        <f>H274*AP274</f>
        <v>0</v>
      </c>
      <c r="AY274" s="40" t="s">
        <v>1219</v>
      </c>
      <c r="AZ274" s="40" t="s">
        <v>1257</v>
      </c>
      <c r="BA274" s="35" t="s">
        <v>1262</v>
      </c>
      <c r="BC274" s="37">
        <f>AW274+AX274</f>
        <v>0</v>
      </c>
      <c r="BD274" s="37">
        <f>I274/(100-BE274)*100</f>
        <v>0</v>
      </c>
      <c r="BE274" s="37">
        <v>0</v>
      </c>
      <c r="BF274" s="37">
        <f>N274</f>
        <v>8768</v>
      </c>
      <c r="BH274" s="24">
        <f>H274*AO274</f>
        <v>0</v>
      </c>
      <c r="BI274" s="24">
        <f>H274*AP274</f>
        <v>0</v>
      </c>
      <c r="BJ274" s="24">
        <f>H274*I274</f>
        <v>0</v>
      </c>
      <c r="BK274" s="24" t="s">
        <v>1267</v>
      </c>
      <c r="BL274" s="37">
        <v>767</v>
      </c>
    </row>
    <row r="275" spans="1:64" x14ac:dyDescent="0.25">
      <c r="A275" s="5"/>
      <c r="C275" s="18" t="s">
        <v>38</v>
      </c>
      <c r="F275" s="20" t="s">
        <v>1147</v>
      </c>
      <c r="H275" s="25">
        <v>32</v>
      </c>
      <c r="N275" s="36"/>
      <c r="O275" s="5"/>
    </row>
    <row r="276" spans="1:64" x14ac:dyDescent="0.25">
      <c r="A276" s="4" t="s">
        <v>210</v>
      </c>
      <c r="B276" s="14" t="s">
        <v>544</v>
      </c>
      <c r="C276" s="130" t="s">
        <v>945</v>
      </c>
      <c r="D276" s="131"/>
      <c r="E276" s="131"/>
      <c r="F276" s="131"/>
      <c r="G276" s="14" t="s">
        <v>1165</v>
      </c>
      <c r="H276" s="24">
        <v>32</v>
      </c>
      <c r="I276" s="24">
        <v>0</v>
      </c>
      <c r="J276" s="24">
        <f>H276*AO276</f>
        <v>0</v>
      </c>
      <c r="K276" s="24">
        <f>H276*AP276</f>
        <v>0</v>
      </c>
      <c r="L276" s="24">
        <f>H276*I276</f>
        <v>0</v>
      </c>
      <c r="M276" s="24">
        <v>0</v>
      </c>
      <c r="N276" s="46">
        <f>H276*276</f>
        <v>8832</v>
      </c>
      <c r="O276" s="5"/>
      <c r="Z276" s="37">
        <f>IF(AQ276="5",BJ276,0)</f>
        <v>0</v>
      </c>
      <c r="AB276" s="37">
        <f>IF(AQ276="1",BH276,0)</f>
        <v>0</v>
      </c>
      <c r="AC276" s="37">
        <f>IF(AQ276="1",BI276,0)</f>
        <v>0</v>
      </c>
      <c r="AD276" s="37">
        <f>IF(AQ276="7",BH276,0)</f>
        <v>0</v>
      </c>
      <c r="AE276" s="37">
        <f>IF(AQ276="7",BI276,0)</f>
        <v>0</v>
      </c>
      <c r="AF276" s="37">
        <f>IF(AQ276="2",BH276,0)</f>
        <v>0</v>
      </c>
      <c r="AG276" s="37">
        <f>IF(AQ276="2",BI276,0)</f>
        <v>0</v>
      </c>
      <c r="AH276" s="37">
        <f>IF(AQ276="0",BJ276,0)</f>
        <v>0</v>
      </c>
      <c r="AI276" s="35"/>
      <c r="AJ276" s="24">
        <f>IF(AN276=0,L276,0)</f>
        <v>0</v>
      </c>
      <c r="AK276" s="24">
        <f>IF(AN276=15,L276,0)</f>
        <v>0</v>
      </c>
      <c r="AL276" s="24">
        <f>IF(AN276=21,L276,0)</f>
        <v>0</v>
      </c>
      <c r="AN276" s="37">
        <v>21</v>
      </c>
      <c r="AO276" s="37">
        <f>I276*0</f>
        <v>0</v>
      </c>
      <c r="AP276" s="37">
        <f>I276*(1-0)</f>
        <v>0</v>
      </c>
      <c r="AQ276" s="38" t="s">
        <v>13</v>
      </c>
      <c r="AV276" s="37">
        <f>AW276+AX276</f>
        <v>0</v>
      </c>
      <c r="AW276" s="37">
        <f>H276*AO276</f>
        <v>0</v>
      </c>
      <c r="AX276" s="37">
        <f>H276*AP276</f>
        <v>0</v>
      </c>
      <c r="AY276" s="40" t="s">
        <v>1219</v>
      </c>
      <c r="AZ276" s="40" t="s">
        <v>1257</v>
      </c>
      <c r="BA276" s="35" t="s">
        <v>1262</v>
      </c>
      <c r="BC276" s="37">
        <f>AW276+AX276</f>
        <v>0</v>
      </c>
      <c r="BD276" s="37">
        <f>I276/(100-BE276)*100</f>
        <v>0</v>
      </c>
      <c r="BE276" s="37">
        <v>0</v>
      </c>
      <c r="BF276" s="37">
        <f>N276</f>
        <v>8832</v>
      </c>
      <c r="BH276" s="24">
        <f>H276*AO276</f>
        <v>0</v>
      </c>
      <c r="BI276" s="24">
        <f>H276*AP276</f>
        <v>0</v>
      </c>
      <c r="BJ276" s="24">
        <f>H276*I276</f>
        <v>0</v>
      </c>
      <c r="BK276" s="24" t="s">
        <v>1267</v>
      </c>
      <c r="BL276" s="37">
        <v>767</v>
      </c>
    </row>
    <row r="277" spans="1:64" x14ac:dyDescent="0.25">
      <c r="A277" s="5"/>
      <c r="C277" s="18" t="s">
        <v>38</v>
      </c>
      <c r="F277" s="20" t="s">
        <v>1148</v>
      </c>
      <c r="H277" s="25">
        <v>32</v>
      </c>
      <c r="N277" s="36"/>
      <c r="O277" s="5"/>
    </row>
    <row r="278" spans="1:64" x14ac:dyDescent="0.25">
      <c r="A278" s="4" t="s">
        <v>211</v>
      </c>
      <c r="B278" s="14" t="s">
        <v>545</v>
      </c>
      <c r="C278" s="130" t="s">
        <v>946</v>
      </c>
      <c r="D278" s="131"/>
      <c r="E278" s="131"/>
      <c r="F278" s="131"/>
      <c r="G278" s="14" t="s">
        <v>1170</v>
      </c>
      <c r="H278" s="24">
        <v>1</v>
      </c>
      <c r="I278" s="24">
        <v>0</v>
      </c>
      <c r="J278" s="24">
        <f>H278*AO278</f>
        <v>0</v>
      </c>
      <c r="K278" s="24">
        <f>H278*AP278</f>
        <v>0</v>
      </c>
      <c r="L278" s="24">
        <f>H278*I278</f>
        <v>0</v>
      </c>
      <c r="M278" s="24">
        <v>0</v>
      </c>
      <c r="N278" s="46">
        <f>H278*278</f>
        <v>278</v>
      </c>
      <c r="O278" s="5"/>
      <c r="Z278" s="37">
        <f>IF(AQ278="5",BJ278,0)</f>
        <v>0</v>
      </c>
      <c r="AB278" s="37">
        <f>IF(AQ278="1",BH278,0)</f>
        <v>0</v>
      </c>
      <c r="AC278" s="37">
        <f>IF(AQ278="1",BI278,0)</f>
        <v>0</v>
      </c>
      <c r="AD278" s="37">
        <f>IF(AQ278="7",BH278,0)</f>
        <v>0</v>
      </c>
      <c r="AE278" s="37">
        <f>IF(AQ278="7",BI278,0)</f>
        <v>0</v>
      </c>
      <c r="AF278" s="37">
        <f>IF(AQ278="2",BH278,0)</f>
        <v>0</v>
      </c>
      <c r="AG278" s="37">
        <f>IF(AQ278="2",BI278,0)</f>
        <v>0</v>
      </c>
      <c r="AH278" s="37">
        <f>IF(AQ278="0",BJ278,0)</f>
        <v>0</v>
      </c>
      <c r="AI278" s="35"/>
      <c r="AJ278" s="24">
        <f>IF(AN278=0,L278,0)</f>
        <v>0</v>
      </c>
      <c r="AK278" s="24">
        <f>IF(AN278=15,L278,0)</f>
        <v>0</v>
      </c>
      <c r="AL278" s="24">
        <f>IF(AN278=21,L278,0)</f>
        <v>0</v>
      </c>
      <c r="AN278" s="37">
        <v>21</v>
      </c>
      <c r="AO278" s="37">
        <f>I278*0</f>
        <v>0</v>
      </c>
      <c r="AP278" s="37">
        <f>I278*(1-0)</f>
        <v>0</v>
      </c>
      <c r="AQ278" s="38" t="s">
        <v>13</v>
      </c>
      <c r="AV278" s="37">
        <f>AW278+AX278</f>
        <v>0</v>
      </c>
      <c r="AW278" s="37">
        <f>H278*AO278</f>
        <v>0</v>
      </c>
      <c r="AX278" s="37">
        <f>H278*AP278</f>
        <v>0</v>
      </c>
      <c r="AY278" s="40" t="s">
        <v>1219</v>
      </c>
      <c r="AZ278" s="40" t="s">
        <v>1257</v>
      </c>
      <c r="BA278" s="35" t="s">
        <v>1262</v>
      </c>
      <c r="BC278" s="37">
        <f>AW278+AX278</f>
        <v>0</v>
      </c>
      <c r="BD278" s="37">
        <f>I278/(100-BE278)*100</f>
        <v>0</v>
      </c>
      <c r="BE278" s="37">
        <v>0</v>
      </c>
      <c r="BF278" s="37">
        <f>N278</f>
        <v>278</v>
      </c>
      <c r="BH278" s="24">
        <f>H278*AO278</f>
        <v>0</v>
      </c>
      <c r="BI278" s="24">
        <f>H278*AP278</f>
        <v>0</v>
      </c>
      <c r="BJ278" s="24">
        <f>H278*I278</f>
        <v>0</v>
      </c>
      <c r="BK278" s="24" t="s">
        <v>1267</v>
      </c>
      <c r="BL278" s="37">
        <v>767</v>
      </c>
    </row>
    <row r="279" spans="1:64" x14ac:dyDescent="0.25">
      <c r="A279" s="7" t="s">
        <v>212</v>
      </c>
      <c r="B279" s="16" t="s">
        <v>546</v>
      </c>
      <c r="C279" s="134" t="s">
        <v>947</v>
      </c>
      <c r="D279" s="135"/>
      <c r="E279" s="135"/>
      <c r="F279" s="135"/>
      <c r="G279" s="16" t="s">
        <v>1165</v>
      </c>
      <c r="H279" s="26">
        <v>32</v>
      </c>
      <c r="I279" s="26">
        <v>0</v>
      </c>
      <c r="J279" s="26">
        <f>H279*AO279</f>
        <v>0</v>
      </c>
      <c r="K279" s="26">
        <f>H279*AP279</f>
        <v>0</v>
      </c>
      <c r="L279" s="26">
        <f>H279*I279</f>
        <v>0</v>
      </c>
      <c r="M279" s="26">
        <v>5.0000000000000001E-3</v>
      </c>
      <c r="N279" s="48">
        <f>H279*279</f>
        <v>8928</v>
      </c>
      <c r="O279" s="5"/>
      <c r="Z279" s="37">
        <f>IF(AQ279="5",BJ279,0)</f>
        <v>0</v>
      </c>
      <c r="AB279" s="37">
        <f>IF(AQ279="1",BH279,0)</f>
        <v>0</v>
      </c>
      <c r="AC279" s="37">
        <f>IF(AQ279="1",BI279,0)</f>
        <v>0</v>
      </c>
      <c r="AD279" s="37">
        <f>IF(AQ279="7",BH279,0)</f>
        <v>0</v>
      </c>
      <c r="AE279" s="37">
        <f>IF(AQ279="7",BI279,0)</f>
        <v>0</v>
      </c>
      <c r="AF279" s="37">
        <f>IF(AQ279="2",BH279,0)</f>
        <v>0</v>
      </c>
      <c r="AG279" s="37">
        <f>IF(AQ279="2",BI279,0)</f>
        <v>0</v>
      </c>
      <c r="AH279" s="37">
        <f>IF(AQ279="0",BJ279,0)</f>
        <v>0</v>
      </c>
      <c r="AI279" s="35"/>
      <c r="AJ279" s="26">
        <f>IF(AN279=0,L279,0)</f>
        <v>0</v>
      </c>
      <c r="AK279" s="26">
        <f>IF(AN279=15,L279,0)</f>
        <v>0</v>
      </c>
      <c r="AL279" s="26">
        <f>IF(AN279=21,L279,0)</f>
        <v>0</v>
      </c>
      <c r="AN279" s="37">
        <v>21</v>
      </c>
      <c r="AO279" s="37">
        <f>I279*1</f>
        <v>0</v>
      </c>
      <c r="AP279" s="37">
        <f>I279*(1-1)</f>
        <v>0</v>
      </c>
      <c r="AQ279" s="39" t="s">
        <v>13</v>
      </c>
      <c r="AV279" s="37">
        <f>AW279+AX279</f>
        <v>0</v>
      </c>
      <c r="AW279" s="37">
        <f>H279*AO279</f>
        <v>0</v>
      </c>
      <c r="AX279" s="37">
        <f>H279*AP279</f>
        <v>0</v>
      </c>
      <c r="AY279" s="40" t="s">
        <v>1219</v>
      </c>
      <c r="AZ279" s="40" t="s">
        <v>1257</v>
      </c>
      <c r="BA279" s="35" t="s">
        <v>1262</v>
      </c>
      <c r="BC279" s="37">
        <f>AW279+AX279</f>
        <v>0</v>
      </c>
      <c r="BD279" s="37">
        <f>I279/(100-BE279)*100</f>
        <v>0</v>
      </c>
      <c r="BE279" s="37">
        <v>0</v>
      </c>
      <c r="BF279" s="37">
        <f>N279</f>
        <v>8928</v>
      </c>
      <c r="BH279" s="26">
        <f>H279*AO279</f>
        <v>0</v>
      </c>
      <c r="BI279" s="26">
        <f>H279*AP279</f>
        <v>0</v>
      </c>
      <c r="BJ279" s="26">
        <f>H279*I279</f>
        <v>0</v>
      </c>
      <c r="BK279" s="26" t="s">
        <v>1268</v>
      </c>
      <c r="BL279" s="37">
        <v>767</v>
      </c>
    </row>
    <row r="280" spans="1:64" x14ac:dyDescent="0.25">
      <c r="A280" s="5"/>
      <c r="C280" s="18" t="s">
        <v>38</v>
      </c>
      <c r="F280" s="20" t="s">
        <v>1149</v>
      </c>
      <c r="H280" s="25">
        <v>32</v>
      </c>
      <c r="N280" s="36"/>
      <c r="O280" s="5"/>
    </row>
    <row r="281" spans="1:64" x14ac:dyDescent="0.25">
      <c r="A281" s="5"/>
      <c r="C281" s="18" t="s">
        <v>948</v>
      </c>
      <c r="F281" s="20"/>
      <c r="H281" s="25">
        <v>0</v>
      </c>
      <c r="N281" s="36"/>
      <c r="O281" s="5"/>
    </row>
    <row r="282" spans="1:64" x14ac:dyDescent="0.25">
      <c r="A282" s="5"/>
      <c r="C282" s="18" t="s">
        <v>949</v>
      </c>
      <c r="F282" s="20"/>
      <c r="H282" s="25">
        <v>0</v>
      </c>
      <c r="N282" s="36"/>
      <c r="O282" s="5"/>
    </row>
    <row r="283" spans="1:64" x14ac:dyDescent="0.25">
      <c r="A283" s="7" t="s">
        <v>213</v>
      </c>
      <c r="B283" s="16" t="s">
        <v>547</v>
      </c>
      <c r="C283" s="134" t="s">
        <v>950</v>
      </c>
      <c r="D283" s="135"/>
      <c r="E283" s="135"/>
      <c r="F283" s="135"/>
      <c r="G283" s="16" t="s">
        <v>1165</v>
      </c>
      <c r="H283" s="26">
        <v>32</v>
      </c>
      <c r="I283" s="26">
        <v>0</v>
      </c>
      <c r="J283" s="26">
        <f>H283*AO283</f>
        <v>0</v>
      </c>
      <c r="K283" s="26">
        <f>H283*AP283</f>
        <v>0</v>
      </c>
      <c r="L283" s="26">
        <f>H283*I283</f>
        <v>0</v>
      </c>
      <c r="M283" s="26">
        <v>5.0000000000000001E-4</v>
      </c>
      <c r="N283" s="48">
        <f>H283*283</f>
        <v>9056</v>
      </c>
      <c r="O283" s="5"/>
      <c r="Z283" s="37">
        <f>IF(AQ283="5",BJ283,0)</f>
        <v>0</v>
      </c>
      <c r="AB283" s="37">
        <f>IF(AQ283="1",BH283,0)</f>
        <v>0</v>
      </c>
      <c r="AC283" s="37">
        <f>IF(AQ283="1",BI283,0)</f>
        <v>0</v>
      </c>
      <c r="AD283" s="37">
        <f>IF(AQ283="7",BH283,0)</f>
        <v>0</v>
      </c>
      <c r="AE283" s="37">
        <f>IF(AQ283="7",BI283,0)</f>
        <v>0</v>
      </c>
      <c r="AF283" s="37">
        <f>IF(AQ283="2",BH283,0)</f>
        <v>0</v>
      </c>
      <c r="AG283" s="37">
        <f>IF(AQ283="2",BI283,0)</f>
        <v>0</v>
      </c>
      <c r="AH283" s="37">
        <f>IF(AQ283="0",BJ283,0)</f>
        <v>0</v>
      </c>
      <c r="AI283" s="35"/>
      <c r="AJ283" s="26">
        <f>IF(AN283=0,L283,0)</f>
        <v>0</v>
      </c>
      <c r="AK283" s="26">
        <f>IF(AN283=15,L283,0)</f>
        <v>0</v>
      </c>
      <c r="AL283" s="26">
        <f>IF(AN283=21,L283,0)</f>
        <v>0</v>
      </c>
      <c r="AN283" s="37">
        <v>21</v>
      </c>
      <c r="AO283" s="37">
        <f>I283*1</f>
        <v>0</v>
      </c>
      <c r="AP283" s="37">
        <f>I283*(1-1)</f>
        <v>0</v>
      </c>
      <c r="AQ283" s="39" t="s">
        <v>13</v>
      </c>
      <c r="AV283" s="37">
        <f>AW283+AX283</f>
        <v>0</v>
      </c>
      <c r="AW283" s="37">
        <f>H283*AO283</f>
        <v>0</v>
      </c>
      <c r="AX283" s="37">
        <f>H283*AP283</f>
        <v>0</v>
      </c>
      <c r="AY283" s="40" t="s">
        <v>1219</v>
      </c>
      <c r="AZ283" s="40" t="s">
        <v>1257</v>
      </c>
      <c r="BA283" s="35" t="s">
        <v>1262</v>
      </c>
      <c r="BC283" s="37">
        <f>AW283+AX283</f>
        <v>0</v>
      </c>
      <c r="BD283" s="37">
        <f>I283/(100-BE283)*100</f>
        <v>0</v>
      </c>
      <c r="BE283" s="37">
        <v>0</v>
      </c>
      <c r="BF283" s="37">
        <f>N283</f>
        <v>9056</v>
      </c>
      <c r="BH283" s="26">
        <f>H283*AO283</f>
        <v>0</v>
      </c>
      <c r="BI283" s="26">
        <f>H283*AP283</f>
        <v>0</v>
      </c>
      <c r="BJ283" s="26">
        <f>H283*I283</f>
        <v>0</v>
      </c>
      <c r="BK283" s="26" t="s">
        <v>1268</v>
      </c>
      <c r="BL283" s="37">
        <v>767</v>
      </c>
    </row>
    <row r="284" spans="1:64" x14ac:dyDescent="0.25">
      <c r="A284" s="5"/>
      <c r="C284" s="18" t="s">
        <v>38</v>
      </c>
      <c r="F284" s="20" t="s">
        <v>1150</v>
      </c>
      <c r="H284" s="25">
        <v>32</v>
      </c>
      <c r="N284" s="36"/>
      <c r="O284" s="5"/>
    </row>
    <row r="285" spans="1:64" x14ac:dyDescent="0.25">
      <c r="A285" s="7" t="s">
        <v>214</v>
      </c>
      <c r="B285" s="16" t="s">
        <v>548</v>
      </c>
      <c r="C285" s="134" t="s">
        <v>951</v>
      </c>
      <c r="D285" s="135"/>
      <c r="E285" s="135"/>
      <c r="F285" s="135"/>
      <c r="G285" s="16" t="s">
        <v>1170</v>
      </c>
      <c r="H285" s="26">
        <v>3</v>
      </c>
      <c r="I285" s="26">
        <v>0</v>
      </c>
      <c r="J285" s="26">
        <f>H285*AO285</f>
        <v>0</v>
      </c>
      <c r="K285" s="26">
        <f>H285*AP285</f>
        <v>0</v>
      </c>
      <c r="L285" s="26">
        <f>H285*I285</f>
        <v>0</v>
      </c>
      <c r="M285" s="26">
        <v>8.0000000000000007E-5</v>
      </c>
      <c r="N285" s="48">
        <f>H285*285</f>
        <v>855</v>
      </c>
      <c r="O285" s="5"/>
      <c r="Z285" s="37">
        <f>IF(AQ285="5",BJ285,0)</f>
        <v>0</v>
      </c>
      <c r="AB285" s="37">
        <f>IF(AQ285="1",BH285,0)</f>
        <v>0</v>
      </c>
      <c r="AC285" s="37">
        <f>IF(AQ285="1",BI285,0)</f>
        <v>0</v>
      </c>
      <c r="AD285" s="37">
        <f>IF(AQ285="7",BH285,0)</f>
        <v>0</v>
      </c>
      <c r="AE285" s="37">
        <f>IF(AQ285="7",BI285,0)</f>
        <v>0</v>
      </c>
      <c r="AF285" s="37">
        <f>IF(AQ285="2",BH285,0)</f>
        <v>0</v>
      </c>
      <c r="AG285" s="37">
        <f>IF(AQ285="2",BI285,0)</f>
        <v>0</v>
      </c>
      <c r="AH285" s="37">
        <f>IF(AQ285="0",BJ285,0)</f>
        <v>0</v>
      </c>
      <c r="AI285" s="35"/>
      <c r="AJ285" s="26">
        <f>IF(AN285=0,L285,0)</f>
        <v>0</v>
      </c>
      <c r="AK285" s="26">
        <f>IF(AN285=15,L285,0)</f>
        <v>0</v>
      </c>
      <c r="AL285" s="26">
        <f>IF(AN285=21,L285,0)</f>
        <v>0</v>
      </c>
      <c r="AN285" s="37">
        <v>21</v>
      </c>
      <c r="AO285" s="37">
        <f>I285*1</f>
        <v>0</v>
      </c>
      <c r="AP285" s="37">
        <f>I285*(1-1)</f>
        <v>0</v>
      </c>
      <c r="AQ285" s="39" t="s">
        <v>13</v>
      </c>
      <c r="AV285" s="37">
        <f>AW285+AX285</f>
        <v>0</v>
      </c>
      <c r="AW285" s="37">
        <f>H285*AO285</f>
        <v>0</v>
      </c>
      <c r="AX285" s="37">
        <f>H285*AP285</f>
        <v>0</v>
      </c>
      <c r="AY285" s="40" t="s">
        <v>1219</v>
      </c>
      <c r="AZ285" s="40" t="s">
        <v>1257</v>
      </c>
      <c r="BA285" s="35" t="s">
        <v>1262</v>
      </c>
      <c r="BC285" s="37">
        <f>AW285+AX285</f>
        <v>0</v>
      </c>
      <c r="BD285" s="37">
        <f>I285/(100-BE285)*100</f>
        <v>0</v>
      </c>
      <c r="BE285" s="37">
        <v>0</v>
      </c>
      <c r="BF285" s="37">
        <f>N285</f>
        <v>855</v>
      </c>
      <c r="BH285" s="26">
        <f>H285*AO285</f>
        <v>0</v>
      </c>
      <c r="BI285" s="26">
        <f>H285*AP285</f>
        <v>0</v>
      </c>
      <c r="BJ285" s="26">
        <f>H285*I285</f>
        <v>0</v>
      </c>
      <c r="BK285" s="26" t="s">
        <v>1268</v>
      </c>
      <c r="BL285" s="37">
        <v>767</v>
      </c>
    </row>
    <row r="286" spans="1:64" x14ac:dyDescent="0.25">
      <c r="A286" s="5"/>
      <c r="C286" s="18" t="s">
        <v>9</v>
      </c>
      <c r="F286" s="20" t="s">
        <v>1151</v>
      </c>
      <c r="H286" s="25">
        <v>3</v>
      </c>
      <c r="N286" s="36"/>
      <c r="O286" s="5"/>
    </row>
    <row r="287" spans="1:64" x14ac:dyDescent="0.25">
      <c r="A287" s="7" t="s">
        <v>215</v>
      </c>
      <c r="B287" s="16" t="s">
        <v>549</v>
      </c>
      <c r="C287" s="134" t="s">
        <v>952</v>
      </c>
      <c r="D287" s="135"/>
      <c r="E287" s="135"/>
      <c r="F287" s="135"/>
      <c r="G287" s="16" t="s">
        <v>1170</v>
      </c>
      <c r="H287" s="26">
        <v>1</v>
      </c>
      <c r="I287" s="26">
        <v>0</v>
      </c>
      <c r="J287" s="26">
        <f>H287*AO287</f>
        <v>0</v>
      </c>
      <c r="K287" s="26">
        <f>H287*AP287</f>
        <v>0</v>
      </c>
      <c r="L287" s="26">
        <f>H287*I287</f>
        <v>0</v>
      </c>
      <c r="M287" s="26">
        <v>0.03</v>
      </c>
      <c r="N287" s="48">
        <f>H287*287</f>
        <v>287</v>
      </c>
      <c r="O287" s="5"/>
      <c r="Z287" s="37">
        <f>IF(AQ287="5",BJ287,0)</f>
        <v>0</v>
      </c>
      <c r="AB287" s="37">
        <f>IF(AQ287="1",BH287,0)</f>
        <v>0</v>
      </c>
      <c r="AC287" s="37">
        <f>IF(AQ287="1",BI287,0)</f>
        <v>0</v>
      </c>
      <c r="AD287" s="37">
        <f>IF(AQ287="7",BH287,0)</f>
        <v>0</v>
      </c>
      <c r="AE287" s="37">
        <f>IF(AQ287="7",BI287,0)</f>
        <v>0</v>
      </c>
      <c r="AF287" s="37">
        <f>IF(AQ287="2",BH287,0)</f>
        <v>0</v>
      </c>
      <c r="AG287" s="37">
        <f>IF(AQ287="2",BI287,0)</f>
        <v>0</v>
      </c>
      <c r="AH287" s="37">
        <f>IF(AQ287="0",BJ287,0)</f>
        <v>0</v>
      </c>
      <c r="AI287" s="35"/>
      <c r="AJ287" s="26">
        <f>IF(AN287=0,L287,0)</f>
        <v>0</v>
      </c>
      <c r="AK287" s="26">
        <f>IF(AN287=15,L287,0)</f>
        <v>0</v>
      </c>
      <c r="AL287" s="26">
        <f>IF(AN287=21,L287,0)</f>
        <v>0</v>
      </c>
      <c r="AN287" s="37">
        <v>21</v>
      </c>
      <c r="AO287" s="37">
        <f>I287*1</f>
        <v>0</v>
      </c>
      <c r="AP287" s="37">
        <f>I287*(1-1)</f>
        <v>0</v>
      </c>
      <c r="AQ287" s="39" t="s">
        <v>13</v>
      </c>
      <c r="AV287" s="37">
        <f>AW287+AX287</f>
        <v>0</v>
      </c>
      <c r="AW287" s="37">
        <f>H287*AO287</f>
        <v>0</v>
      </c>
      <c r="AX287" s="37">
        <f>H287*AP287</f>
        <v>0</v>
      </c>
      <c r="AY287" s="40" t="s">
        <v>1219</v>
      </c>
      <c r="AZ287" s="40" t="s">
        <v>1257</v>
      </c>
      <c r="BA287" s="35" t="s">
        <v>1262</v>
      </c>
      <c r="BC287" s="37">
        <f>AW287+AX287</f>
        <v>0</v>
      </c>
      <c r="BD287" s="37">
        <f>I287/(100-BE287)*100</f>
        <v>0</v>
      </c>
      <c r="BE287" s="37">
        <v>0</v>
      </c>
      <c r="BF287" s="37">
        <f>N287</f>
        <v>287</v>
      </c>
      <c r="BH287" s="26">
        <f>H287*AO287</f>
        <v>0</v>
      </c>
      <c r="BI287" s="26">
        <f>H287*AP287</f>
        <v>0</v>
      </c>
      <c r="BJ287" s="26">
        <f>H287*I287</f>
        <v>0</v>
      </c>
      <c r="BK287" s="26" t="s">
        <v>1268</v>
      </c>
      <c r="BL287" s="37">
        <v>767</v>
      </c>
    </row>
    <row r="288" spans="1:64" x14ac:dyDescent="0.25">
      <c r="A288" s="5"/>
      <c r="C288" s="18" t="s">
        <v>7</v>
      </c>
      <c r="F288" s="20" t="s">
        <v>1152</v>
      </c>
      <c r="H288" s="25">
        <v>1</v>
      </c>
      <c r="N288" s="36"/>
      <c r="O288" s="5"/>
    </row>
    <row r="289" spans="1:64" x14ac:dyDescent="0.25">
      <c r="A289" s="5"/>
      <c r="C289" s="18" t="s">
        <v>953</v>
      </c>
      <c r="F289" s="20"/>
      <c r="H289" s="25">
        <v>0</v>
      </c>
      <c r="N289" s="36"/>
      <c r="O289" s="5"/>
    </row>
    <row r="290" spans="1:64" x14ac:dyDescent="0.25">
      <c r="A290" s="5"/>
      <c r="C290" s="18" t="s">
        <v>954</v>
      </c>
      <c r="F290" s="20" t="s">
        <v>1153</v>
      </c>
      <c r="H290" s="25">
        <v>0</v>
      </c>
      <c r="N290" s="36"/>
      <c r="O290" s="5"/>
    </row>
    <row r="291" spans="1:64" x14ac:dyDescent="0.25">
      <c r="A291" s="5"/>
      <c r="C291" s="18" t="s">
        <v>955</v>
      </c>
      <c r="F291" s="20"/>
      <c r="H291" s="25">
        <v>0</v>
      </c>
      <c r="N291" s="36"/>
      <c r="O291" s="5"/>
    </row>
    <row r="292" spans="1:64" x14ac:dyDescent="0.25">
      <c r="A292" s="4" t="s">
        <v>216</v>
      </c>
      <c r="B292" s="14" t="s">
        <v>550</v>
      </c>
      <c r="C292" s="130" t="s">
        <v>956</v>
      </c>
      <c r="D292" s="131"/>
      <c r="E292" s="131"/>
      <c r="F292" s="131"/>
      <c r="G292" s="14" t="s">
        <v>1170</v>
      </c>
      <c r="H292" s="24">
        <v>10</v>
      </c>
      <c r="I292" s="24">
        <v>0</v>
      </c>
      <c r="J292" s="24">
        <f>H292*AO292</f>
        <v>0</v>
      </c>
      <c r="K292" s="24">
        <f>H292*AP292</f>
        <v>0</v>
      </c>
      <c r="L292" s="24">
        <f>H292*I292</f>
        <v>0</v>
      </c>
      <c r="M292" s="24">
        <v>0</v>
      </c>
      <c r="N292" s="46">
        <f>H292*292</f>
        <v>2920</v>
      </c>
      <c r="O292" s="5"/>
      <c r="Z292" s="37">
        <f>IF(AQ292="5",BJ292,0)</f>
        <v>0</v>
      </c>
      <c r="AB292" s="37">
        <f>IF(AQ292="1",BH292,0)</f>
        <v>0</v>
      </c>
      <c r="AC292" s="37">
        <f>IF(AQ292="1",BI292,0)</f>
        <v>0</v>
      </c>
      <c r="AD292" s="37">
        <f>IF(AQ292="7",BH292,0)</f>
        <v>0</v>
      </c>
      <c r="AE292" s="37">
        <f>IF(AQ292="7",BI292,0)</f>
        <v>0</v>
      </c>
      <c r="AF292" s="37">
        <f>IF(AQ292="2",BH292,0)</f>
        <v>0</v>
      </c>
      <c r="AG292" s="37">
        <f>IF(AQ292="2",BI292,0)</f>
        <v>0</v>
      </c>
      <c r="AH292" s="37">
        <f>IF(AQ292="0",BJ292,0)</f>
        <v>0</v>
      </c>
      <c r="AI292" s="35"/>
      <c r="AJ292" s="24">
        <f>IF(AN292=0,L292,0)</f>
        <v>0</v>
      </c>
      <c r="AK292" s="24">
        <f>IF(AN292=15,L292,0)</f>
        <v>0</v>
      </c>
      <c r="AL292" s="24">
        <f>IF(AN292=21,L292,0)</f>
        <v>0</v>
      </c>
      <c r="AN292" s="37">
        <v>21</v>
      </c>
      <c r="AO292" s="37">
        <f>I292*0</f>
        <v>0</v>
      </c>
      <c r="AP292" s="37">
        <f>I292*(1-0)</f>
        <v>0</v>
      </c>
      <c r="AQ292" s="38" t="s">
        <v>13</v>
      </c>
      <c r="AV292" s="37">
        <f>AW292+AX292</f>
        <v>0</v>
      </c>
      <c r="AW292" s="37">
        <f>H292*AO292</f>
        <v>0</v>
      </c>
      <c r="AX292" s="37">
        <f>H292*AP292</f>
        <v>0</v>
      </c>
      <c r="AY292" s="40" t="s">
        <v>1219</v>
      </c>
      <c r="AZ292" s="40" t="s">
        <v>1257</v>
      </c>
      <c r="BA292" s="35" t="s">
        <v>1262</v>
      </c>
      <c r="BC292" s="37">
        <f>AW292+AX292</f>
        <v>0</v>
      </c>
      <c r="BD292" s="37">
        <f>I292/(100-BE292)*100</f>
        <v>0</v>
      </c>
      <c r="BE292" s="37">
        <v>0</v>
      </c>
      <c r="BF292" s="37">
        <f>N292</f>
        <v>2920</v>
      </c>
      <c r="BH292" s="24">
        <f>H292*AO292</f>
        <v>0</v>
      </c>
      <c r="BI292" s="24">
        <f>H292*AP292</f>
        <v>0</v>
      </c>
      <c r="BJ292" s="24">
        <f>H292*I292</f>
        <v>0</v>
      </c>
      <c r="BK292" s="24" t="s">
        <v>1267</v>
      </c>
      <c r="BL292" s="37">
        <v>767</v>
      </c>
    </row>
    <row r="293" spans="1:64" x14ac:dyDescent="0.25">
      <c r="A293" s="7" t="s">
        <v>217</v>
      </c>
      <c r="B293" s="16" t="s">
        <v>551</v>
      </c>
      <c r="C293" s="134" t="s">
        <v>957</v>
      </c>
      <c r="D293" s="135"/>
      <c r="E293" s="135"/>
      <c r="F293" s="135"/>
      <c r="G293" s="16" t="s">
        <v>1170</v>
      </c>
      <c r="H293" s="26">
        <v>10</v>
      </c>
      <c r="I293" s="26">
        <v>0</v>
      </c>
      <c r="J293" s="26">
        <f>H293*AO293</f>
        <v>0</v>
      </c>
      <c r="K293" s="26">
        <f>H293*AP293</f>
        <v>0</v>
      </c>
      <c r="L293" s="26">
        <f>H293*I293</f>
        <v>0</v>
      </c>
      <c r="M293" s="26">
        <v>2.0000000000000001E-4</v>
      </c>
      <c r="N293" s="48">
        <f>H293*293</f>
        <v>2930</v>
      </c>
      <c r="O293" s="5"/>
      <c r="Z293" s="37">
        <f>IF(AQ293="5",BJ293,0)</f>
        <v>0</v>
      </c>
      <c r="AB293" s="37">
        <f>IF(AQ293="1",BH293,0)</f>
        <v>0</v>
      </c>
      <c r="AC293" s="37">
        <f>IF(AQ293="1",BI293,0)</f>
        <v>0</v>
      </c>
      <c r="AD293" s="37">
        <f>IF(AQ293="7",BH293,0)</f>
        <v>0</v>
      </c>
      <c r="AE293" s="37">
        <f>IF(AQ293="7",BI293,0)</f>
        <v>0</v>
      </c>
      <c r="AF293" s="37">
        <f>IF(AQ293="2",BH293,0)</f>
        <v>0</v>
      </c>
      <c r="AG293" s="37">
        <f>IF(AQ293="2",BI293,0)</f>
        <v>0</v>
      </c>
      <c r="AH293" s="37">
        <f>IF(AQ293="0",BJ293,0)</f>
        <v>0</v>
      </c>
      <c r="AI293" s="35"/>
      <c r="AJ293" s="26">
        <f>IF(AN293=0,L293,0)</f>
        <v>0</v>
      </c>
      <c r="AK293" s="26">
        <f>IF(AN293=15,L293,0)</f>
        <v>0</v>
      </c>
      <c r="AL293" s="26">
        <f>IF(AN293=21,L293,0)</f>
        <v>0</v>
      </c>
      <c r="AN293" s="37">
        <v>21</v>
      </c>
      <c r="AO293" s="37">
        <f>I293*1</f>
        <v>0</v>
      </c>
      <c r="AP293" s="37">
        <f>I293*(1-1)</f>
        <v>0</v>
      </c>
      <c r="AQ293" s="39" t="s">
        <v>13</v>
      </c>
      <c r="AV293" s="37">
        <f>AW293+AX293</f>
        <v>0</v>
      </c>
      <c r="AW293" s="37">
        <f>H293*AO293</f>
        <v>0</v>
      </c>
      <c r="AX293" s="37">
        <f>H293*AP293</f>
        <v>0</v>
      </c>
      <c r="AY293" s="40" t="s">
        <v>1219</v>
      </c>
      <c r="AZ293" s="40" t="s">
        <v>1257</v>
      </c>
      <c r="BA293" s="35" t="s">
        <v>1262</v>
      </c>
      <c r="BC293" s="37">
        <f>AW293+AX293</f>
        <v>0</v>
      </c>
      <c r="BD293" s="37">
        <f>I293/(100-BE293)*100</f>
        <v>0</v>
      </c>
      <c r="BE293" s="37">
        <v>0</v>
      </c>
      <c r="BF293" s="37">
        <f>N293</f>
        <v>2930</v>
      </c>
      <c r="BH293" s="26">
        <f>H293*AO293</f>
        <v>0</v>
      </c>
      <c r="BI293" s="26">
        <f>H293*AP293</f>
        <v>0</v>
      </c>
      <c r="BJ293" s="26">
        <f>H293*I293</f>
        <v>0</v>
      </c>
      <c r="BK293" s="26" t="s">
        <v>1268</v>
      </c>
      <c r="BL293" s="37">
        <v>767</v>
      </c>
    </row>
    <row r="294" spans="1:64" x14ac:dyDescent="0.25">
      <c r="A294" s="4" t="s">
        <v>218</v>
      </c>
      <c r="B294" s="14" t="s">
        <v>552</v>
      </c>
      <c r="C294" s="130" t="s">
        <v>958</v>
      </c>
      <c r="D294" s="131"/>
      <c r="E294" s="131"/>
      <c r="F294" s="131"/>
      <c r="G294" s="14" t="s">
        <v>1165</v>
      </c>
      <c r="H294" s="24">
        <v>8</v>
      </c>
      <c r="I294" s="24">
        <v>0</v>
      </c>
      <c r="J294" s="24">
        <f>H294*AO294</f>
        <v>0</v>
      </c>
      <c r="K294" s="24">
        <f>H294*AP294</f>
        <v>0</v>
      </c>
      <c r="L294" s="24">
        <f>H294*I294</f>
        <v>0</v>
      </c>
      <c r="M294" s="24">
        <v>0</v>
      </c>
      <c r="N294" s="46">
        <f>H294*294</f>
        <v>2352</v>
      </c>
      <c r="O294" s="5"/>
      <c r="Z294" s="37">
        <f>IF(AQ294="5",BJ294,0)</f>
        <v>0</v>
      </c>
      <c r="AB294" s="37">
        <f>IF(AQ294="1",BH294,0)</f>
        <v>0</v>
      </c>
      <c r="AC294" s="37">
        <f>IF(AQ294="1",BI294,0)</f>
        <v>0</v>
      </c>
      <c r="AD294" s="37">
        <f>IF(AQ294="7",BH294,0)</f>
        <v>0</v>
      </c>
      <c r="AE294" s="37">
        <f>IF(AQ294="7",BI294,0)</f>
        <v>0</v>
      </c>
      <c r="AF294" s="37">
        <f>IF(AQ294="2",BH294,0)</f>
        <v>0</v>
      </c>
      <c r="AG294" s="37">
        <f>IF(AQ294="2",BI294,0)</f>
        <v>0</v>
      </c>
      <c r="AH294" s="37">
        <f>IF(AQ294="0",BJ294,0)</f>
        <v>0</v>
      </c>
      <c r="AI294" s="35"/>
      <c r="AJ294" s="24">
        <f>IF(AN294=0,L294,0)</f>
        <v>0</v>
      </c>
      <c r="AK294" s="24">
        <f>IF(AN294=15,L294,0)</f>
        <v>0</v>
      </c>
      <c r="AL294" s="24">
        <f>IF(AN294=21,L294,0)</f>
        <v>0</v>
      </c>
      <c r="AN294" s="37">
        <v>21</v>
      </c>
      <c r="AO294" s="37">
        <f>I294*0</f>
        <v>0</v>
      </c>
      <c r="AP294" s="37">
        <f>I294*(1-0)</f>
        <v>0</v>
      </c>
      <c r="AQ294" s="38" t="s">
        <v>13</v>
      </c>
      <c r="AV294" s="37">
        <f>AW294+AX294</f>
        <v>0</v>
      </c>
      <c r="AW294" s="37">
        <f>H294*AO294</f>
        <v>0</v>
      </c>
      <c r="AX294" s="37">
        <f>H294*AP294</f>
        <v>0</v>
      </c>
      <c r="AY294" s="40" t="s">
        <v>1219</v>
      </c>
      <c r="AZ294" s="40" t="s">
        <v>1257</v>
      </c>
      <c r="BA294" s="35" t="s">
        <v>1262</v>
      </c>
      <c r="BC294" s="37">
        <f>AW294+AX294</f>
        <v>0</v>
      </c>
      <c r="BD294" s="37">
        <f>I294/(100-BE294)*100</f>
        <v>0</v>
      </c>
      <c r="BE294" s="37">
        <v>0</v>
      </c>
      <c r="BF294" s="37">
        <f>N294</f>
        <v>2352</v>
      </c>
      <c r="BH294" s="24">
        <f>H294*AO294</f>
        <v>0</v>
      </c>
      <c r="BI294" s="24">
        <f>H294*AP294</f>
        <v>0</v>
      </c>
      <c r="BJ294" s="24">
        <f>H294*I294</f>
        <v>0</v>
      </c>
      <c r="BK294" s="24" t="s">
        <v>1267</v>
      </c>
      <c r="BL294" s="37">
        <v>767</v>
      </c>
    </row>
    <row r="295" spans="1:64" x14ac:dyDescent="0.25">
      <c r="A295" s="4" t="s">
        <v>219</v>
      </c>
      <c r="B295" s="14" t="s">
        <v>545</v>
      </c>
      <c r="C295" s="130" t="s">
        <v>959</v>
      </c>
      <c r="D295" s="131"/>
      <c r="E295" s="131"/>
      <c r="F295" s="131"/>
      <c r="G295" s="14" t="s">
        <v>1170</v>
      </c>
      <c r="H295" s="24">
        <v>2</v>
      </c>
      <c r="I295" s="24">
        <v>0</v>
      </c>
      <c r="J295" s="24">
        <f>H295*AO295</f>
        <v>0</v>
      </c>
      <c r="K295" s="24">
        <f>H295*AP295</f>
        <v>0</v>
      </c>
      <c r="L295" s="24">
        <f>H295*I295</f>
        <v>0</v>
      </c>
      <c r="M295" s="24">
        <v>0</v>
      </c>
      <c r="N295" s="46">
        <f>H295*295</f>
        <v>590</v>
      </c>
      <c r="O295" s="5"/>
      <c r="Z295" s="37">
        <f>IF(AQ295="5",BJ295,0)</f>
        <v>0</v>
      </c>
      <c r="AB295" s="37">
        <f>IF(AQ295="1",BH295,0)</f>
        <v>0</v>
      </c>
      <c r="AC295" s="37">
        <f>IF(AQ295="1",BI295,0)</f>
        <v>0</v>
      </c>
      <c r="AD295" s="37">
        <f>IF(AQ295="7",BH295,0)</f>
        <v>0</v>
      </c>
      <c r="AE295" s="37">
        <f>IF(AQ295="7",BI295,0)</f>
        <v>0</v>
      </c>
      <c r="AF295" s="37">
        <f>IF(AQ295="2",BH295,0)</f>
        <v>0</v>
      </c>
      <c r="AG295" s="37">
        <f>IF(AQ295="2",BI295,0)</f>
        <v>0</v>
      </c>
      <c r="AH295" s="37">
        <f>IF(AQ295="0",BJ295,0)</f>
        <v>0</v>
      </c>
      <c r="AI295" s="35"/>
      <c r="AJ295" s="24">
        <f>IF(AN295=0,L295,0)</f>
        <v>0</v>
      </c>
      <c r="AK295" s="24">
        <f>IF(AN295=15,L295,0)</f>
        <v>0</v>
      </c>
      <c r="AL295" s="24">
        <f>IF(AN295=21,L295,0)</f>
        <v>0</v>
      </c>
      <c r="AN295" s="37">
        <v>21</v>
      </c>
      <c r="AO295" s="37">
        <f>I295*0.154929577464789</f>
        <v>0</v>
      </c>
      <c r="AP295" s="37">
        <f>I295*(1-0.154929577464789)</f>
        <v>0</v>
      </c>
      <c r="AQ295" s="38" t="s">
        <v>13</v>
      </c>
      <c r="AV295" s="37">
        <f>AW295+AX295</f>
        <v>0</v>
      </c>
      <c r="AW295" s="37">
        <f>H295*AO295</f>
        <v>0</v>
      </c>
      <c r="AX295" s="37">
        <f>H295*AP295</f>
        <v>0</v>
      </c>
      <c r="AY295" s="40" t="s">
        <v>1219</v>
      </c>
      <c r="AZ295" s="40" t="s">
        <v>1257</v>
      </c>
      <c r="BA295" s="35" t="s">
        <v>1262</v>
      </c>
      <c r="BC295" s="37">
        <f>AW295+AX295</f>
        <v>0</v>
      </c>
      <c r="BD295" s="37">
        <f>I295/(100-BE295)*100</f>
        <v>0</v>
      </c>
      <c r="BE295" s="37">
        <v>0</v>
      </c>
      <c r="BF295" s="37">
        <f>N295</f>
        <v>590</v>
      </c>
      <c r="BH295" s="24">
        <f>H295*AO295</f>
        <v>0</v>
      </c>
      <c r="BI295" s="24">
        <f>H295*AP295</f>
        <v>0</v>
      </c>
      <c r="BJ295" s="24">
        <f>H295*I295</f>
        <v>0</v>
      </c>
      <c r="BK295" s="24" t="s">
        <v>1267</v>
      </c>
      <c r="BL295" s="37">
        <v>767</v>
      </c>
    </row>
    <row r="296" spans="1:64" x14ac:dyDescent="0.25">
      <c r="A296" s="6"/>
      <c r="B296" s="15" t="s">
        <v>553</v>
      </c>
      <c r="C296" s="132" t="s">
        <v>960</v>
      </c>
      <c r="D296" s="133"/>
      <c r="E296" s="133"/>
      <c r="F296" s="133"/>
      <c r="G296" s="22" t="s">
        <v>6</v>
      </c>
      <c r="H296" s="22" t="s">
        <v>6</v>
      </c>
      <c r="I296" s="22" t="s">
        <v>6</v>
      </c>
      <c r="J296" s="43">
        <f>SUM(J297:J307)</f>
        <v>0</v>
      </c>
      <c r="K296" s="43">
        <f>SUM(K297:K307)</f>
        <v>0</v>
      </c>
      <c r="L296" s="43">
        <f>SUM(L297:L307)</f>
        <v>0</v>
      </c>
      <c r="M296" s="35"/>
      <c r="N296" s="47">
        <f>SUM(N297:N307)</f>
        <v>41664.11</v>
      </c>
      <c r="O296" s="5"/>
      <c r="AI296" s="35"/>
      <c r="AS296" s="43">
        <f>SUM(AJ297:AJ307)</f>
        <v>0</v>
      </c>
      <c r="AT296" s="43">
        <f>SUM(AK297:AK307)</f>
        <v>0</v>
      </c>
      <c r="AU296" s="43">
        <f>SUM(AL297:AL307)</f>
        <v>0</v>
      </c>
    </row>
    <row r="297" spans="1:64" x14ac:dyDescent="0.25">
      <c r="A297" s="4" t="s">
        <v>220</v>
      </c>
      <c r="B297" s="14" t="s">
        <v>554</v>
      </c>
      <c r="C297" s="130" t="s">
        <v>961</v>
      </c>
      <c r="D297" s="131"/>
      <c r="E297" s="131"/>
      <c r="F297" s="131"/>
      <c r="G297" s="14" t="s">
        <v>1169</v>
      </c>
      <c r="H297" s="24">
        <v>32.47</v>
      </c>
      <c r="I297" s="24">
        <v>0</v>
      </c>
      <c r="J297" s="24">
        <f>H297*AO297</f>
        <v>0</v>
      </c>
      <c r="K297" s="24">
        <f>H297*AP297</f>
        <v>0</v>
      </c>
      <c r="L297" s="24">
        <f>H297*I297</f>
        <v>0</v>
      </c>
      <c r="M297" s="24">
        <v>2.31E-3</v>
      </c>
      <c r="N297" s="46">
        <f>H297*297</f>
        <v>9643.59</v>
      </c>
      <c r="O297" s="5"/>
      <c r="Z297" s="37">
        <f>IF(AQ297="5",BJ297,0)</f>
        <v>0</v>
      </c>
      <c r="AB297" s="37">
        <f>IF(AQ297="1",BH297,0)</f>
        <v>0</v>
      </c>
      <c r="AC297" s="37">
        <f>IF(AQ297="1",BI297,0)</f>
        <v>0</v>
      </c>
      <c r="AD297" s="37">
        <f>IF(AQ297="7",BH297,0)</f>
        <v>0</v>
      </c>
      <c r="AE297" s="37">
        <f>IF(AQ297="7",BI297,0)</f>
        <v>0</v>
      </c>
      <c r="AF297" s="37">
        <f>IF(AQ297="2",BH297,0)</f>
        <v>0</v>
      </c>
      <c r="AG297" s="37">
        <f>IF(AQ297="2",BI297,0)</f>
        <v>0</v>
      </c>
      <c r="AH297" s="37">
        <f>IF(AQ297="0",BJ297,0)</f>
        <v>0</v>
      </c>
      <c r="AI297" s="35"/>
      <c r="AJ297" s="24">
        <f>IF(AN297=0,L297,0)</f>
        <v>0</v>
      </c>
      <c r="AK297" s="24">
        <f>IF(AN297=15,L297,0)</f>
        <v>0</v>
      </c>
      <c r="AL297" s="24">
        <f>IF(AN297=21,L297,0)</f>
        <v>0</v>
      </c>
      <c r="AN297" s="37">
        <v>21</v>
      </c>
      <c r="AO297" s="37">
        <f>I297*0.136776127104834</f>
        <v>0</v>
      </c>
      <c r="AP297" s="37">
        <f>I297*(1-0.136776127104834)</f>
        <v>0</v>
      </c>
      <c r="AQ297" s="38" t="s">
        <v>13</v>
      </c>
      <c r="AV297" s="37">
        <f>AW297+AX297</f>
        <v>0</v>
      </c>
      <c r="AW297" s="37">
        <f>H297*AO297</f>
        <v>0</v>
      </c>
      <c r="AX297" s="37">
        <f>H297*AP297</f>
        <v>0</v>
      </c>
      <c r="AY297" s="40" t="s">
        <v>1220</v>
      </c>
      <c r="AZ297" s="40" t="s">
        <v>1258</v>
      </c>
      <c r="BA297" s="35" t="s">
        <v>1262</v>
      </c>
      <c r="BC297" s="37">
        <f>AW297+AX297</f>
        <v>0</v>
      </c>
      <c r="BD297" s="37">
        <f>I297/(100-BE297)*100</f>
        <v>0</v>
      </c>
      <c r="BE297" s="37">
        <v>0</v>
      </c>
      <c r="BF297" s="37">
        <f>N297</f>
        <v>9643.59</v>
      </c>
      <c r="BH297" s="24">
        <f>H297*AO297</f>
        <v>0</v>
      </c>
      <c r="BI297" s="24">
        <f>H297*AP297</f>
        <v>0</v>
      </c>
      <c r="BJ297" s="24">
        <f>H297*I297</f>
        <v>0</v>
      </c>
      <c r="BK297" s="24" t="s">
        <v>1267</v>
      </c>
      <c r="BL297" s="37">
        <v>771</v>
      </c>
    </row>
    <row r="298" spans="1:64" x14ac:dyDescent="0.25">
      <c r="A298" s="5"/>
      <c r="C298" s="18" t="s">
        <v>962</v>
      </c>
      <c r="F298" s="20" t="s">
        <v>1154</v>
      </c>
      <c r="H298" s="25">
        <v>32.47</v>
      </c>
      <c r="N298" s="36"/>
      <c r="O298" s="5"/>
    </row>
    <row r="299" spans="1:64" x14ac:dyDescent="0.25">
      <c r="A299" s="4" t="s">
        <v>221</v>
      </c>
      <c r="B299" s="14" t="s">
        <v>555</v>
      </c>
      <c r="C299" s="130" t="s">
        <v>963</v>
      </c>
      <c r="D299" s="131"/>
      <c r="E299" s="131"/>
      <c r="F299" s="131"/>
      <c r="G299" s="14" t="s">
        <v>1165</v>
      </c>
      <c r="H299" s="24">
        <v>7.66</v>
      </c>
      <c r="I299" s="24">
        <v>0</v>
      </c>
      <c r="J299" s="24">
        <f>H299*AO299</f>
        <v>0</v>
      </c>
      <c r="K299" s="24">
        <f>H299*AP299</f>
        <v>0</v>
      </c>
      <c r="L299" s="24">
        <f>H299*I299</f>
        <v>0</v>
      </c>
      <c r="M299" s="24">
        <v>1.2160000000000001E-2</v>
      </c>
      <c r="N299" s="46">
        <f>H299*299</f>
        <v>2290.34</v>
      </c>
      <c r="O299" s="5"/>
      <c r="Z299" s="37">
        <f>IF(AQ299="5",BJ299,0)</f>
        <v>0</v>
      </c>
      <c r="AB299" s="37">
        <f>IF(AQ299="1",BH299,0)</f>
        <v>0</v>
      </c>
      <c r="AC299" s="37">
        <f>IF(AQ299="1",BI299,0)</f>
        <v>0</v>
      </c>
      <c r="AD299" s="37">
        <f>IF(AQ299="7",BH299,0)</f>
        <v>0</v>
      </c>
      <c r="AE299" s="37">
        <f>IF(AQ299="7",BI299,0)</f>
        <v>0</v>
      </c>
      <c r="AF299" s="37">
        <f>IF(AQ299="2",BH299,0)</f>
        <v>0</v>
      </c>
      <c r="AG299" s="37">
        <f>IF(AQ299="2",BI299,0)</f>
        <v>0</v>
      </c>
      <c r="AH299" s="37">
        <f>IF(AQ299="0",BJ299,0)</f>
        <v>0</v>
      </c>
      <c r="AI299" s="35"/>
      <c r="AJ299" s="24">
        <f>IF(AN299=0,L299,0)</f>
        <v>0</v>
      </c>
      <c r="AK299" s="24">
        <f>IF(AN299=15,L299,0)</f>
        <v>0</v>
      </c>
      <c r="AL299" s="24">
        <f>IF(AN299=21,L299,0)</f>
        <v>0</v>
      </c>
      <c r="AN299" s="37">
        <v>21</v>
      </c>
      <c r="AO299" s="37">
        <f>I299*0.0550748951467945</f>
        <v>0</v>
      </c>
      <c r="AP299" s="37">
        <f>I299*(1-0.0550748951467945)</f>
        <v>0</v>
      </c>
      <c r="AQ299" s="38" t="s">
        <v>13</v>
      </c>
      <c r="AV299" s="37">
        <f>AW299+AX299</f>
        <v>0</v>
      </c>
      <c r="AW299" s="37">
        <f>H299*AO299</f>
        <v>0</v>
      </c>
      <c r="AX299" s="37">
        <f>H299*AP299</f>
        <v>0</v>
      </c>
      <c r="AY299" s="40" t="s">
        <v>1220</v>
      </c>
      <c r="AZ299" s="40" t="s">
        <v>1258</v>
      </c>
      <c r="BA299" s="35" t="s">
        <v>1262</v>
      </c>
      <c r="BC299" s="37">
        <f>AW299+AX299</f>
        <v>0</v>
      </c>
      <c r="BD299" s="37">
        <f>I299/(100-BE299)*100</f>
        <v>0</v>
      </c>
      <c r="BE299" s="37">
        <v>0</v>
      </c>
      <c r="BF299" s="37">
        <f>N299</f>
        <v>2290.34</v>
      </c>
      <c r="BH299" s="24">
        <f>H299*AO299</f>
        <v>0</v>
      </c>
      <c r="BI299" s="24">
        <f>H299*AP299</f>
        <v>0</v>
      </c>
      <c r="BJ299" s="24">
        <f>H299*I299</f>
        <v>0</v>
      </c>
      <c r="BK299" s="24" t="s">
        <v>1267</v>
      </c>
      <c r="BL299" s="37">
        <v>771</v>
      </c>
    </row>
    <row r="300" spans="1:64" x14ac:dyDescent="0.25">
      <c r="A300" s="5"/>
      <c r="C300" s="18" t="s">
        <v>964</v>
      </c>
      <c r="F300" s="20" t="s">
        <v>1154</v>
      </c>
      <c r="H300" s="25">
        <v>7.66</v>
      </c>
      <c r="N300" s="36"/>
      <c r="O300" s="5"/>
    </row>
    <row r="301" spans="1:64" x14ac:dyDescent="0.25">
      <c r="A301" s="4" t="s">
        <v>222</v>
      </c>
      <c r="B301" s="14" t="s">
        <v>556</v>
      </c>
      <c r="C301" s="130" t="s">
        <v>965</v>
      </c>
      <c r="D301" s="131"/>
      <c r="E301" s="131"/>
      <c r="F301" s="131"/>
      <c r="G301" s="14" t="s">
        <v>1165</v>
      </c>
      <c r="H301" s="24">
        <v>23.24</v>
      </c>
      <c r="I301" s="24">
        <v>0</v>
      </c>
      <c r="J301" s="24">
        <f>H301*AO301</f>
        <v>0</v>
      </c>
      <c r="K301" s="24">
        <f>H301*AP301</f>
        <v>0</v>
      </c>
      <c r="L301" s="24">
        <f>H301*I301</f>
        <v>0</v>
      </c>
      <c r="M301" s="24">
        <v>5.1799999999999997E-3</v>
      </c>
      <c r="N301" s="46">
        <f>H301*301</f>
        <v>6995.24</v>
      </c>
      <c r="O301" s="5"/>
      <c r="Z301" s="37">
        <f>IF(AQ301="5",BJ301,0)</f>
        <v>0</v>
      </c>
      <c r="AB301" s="37">
        <f>IF(AQ301="1",BH301,0)</f>
        <v>0</v>
      </c>
      <c r="AC301" s="37">
        <f>IF(AQ301="1",BI301,0)</f>
        <v>0</v>
      </c>
      <c r="AD301" s="37">
        <f>IF(AQ301="7",BH301,0)</f>
        <v>0</v>
      </c>
      <c r="AE301" s="37">
        <f>IF(AQ301="7",BI301,0)</f>
        <v>0</v>
      </c>
      <c r="AF301" s="37">
        <f>IF(AQ301="2",BH301,0)</f>
        <v>0</v>
      </c>
      <c r="AG301" s="37">
        <f>IF(AQ301="2",BI301,0)</f>
        <v>0</v>
      </c>
      <c r="AH301" s="37">
        <f>IF(AQ301="0",BJ301,0)</f>
        <v>0</v>
      </c>
      <c r="AI301" s="35"/>
      <c r="AJ301" s="24">
        <f>IF(AN301=0,L301,0)</f>
        <v>0</v>
      </c>
      <c r="AK301" s="24">
        <f>IF(AN301=15,L301,0)</f>
        <v>0</v>
      </c>
      <c r="AL301" s="24">
        <f>IF(AN301=21,L301,0)</f>
        <v>0</v>
      </c>
      <c r="AN301" s="37">
        <v>21</v>
      </c>
      <c r="AO301" s="37">
        <f>I301*0.0399796113411915</f>
        <v>0</v>
      </c>
      <c r="AP301" s="37">
        <f>I301*(1-0.0399796113411915)</f>
        <v>0</v>
      </c>
      <c r="AQ301" s="38" t="s">
        <v>13</v>
      </c>
      <c r="AV301" s="37">
        <f>AW301+AX301</f>
        <v>0</v>
      </c>
      <c r="AW301" s="37">
        <f>H301*AO301</f>
        <v>0</v>
      </c>
      <c r="AX301" s="37">
        <f>H301*AP301</f>
        <v>0</v>
      </c>
      <c r="AY301" s="40" t="s">
        <v>1220</v>
      </c>
      <c r="AZ301" s="40" t="s">
        <v>1258</v>
      </c>
      <c r="BA301" s="35" t="s">
        <v>1262</v>
      </c>
      <c r="BC301" s="37">
        <f>AW301+AX301</f>
        <v>0</v>
      </c>
      <c r="BD301" s="37">
        <f>I301/(100-BE301)*100</f>
        <v>0</v>
      </c>
      <c r="BE301" s="37">
        <v>0</v>
      </c>
      <c r="BF301" s="37">
        <f>N301</f>
        <v>6995.24</v>
      </c>
      <c r="BH301" s="24">
        <f>H301*AO301</f>
        <v>0</v>
      </c>
      <c r="BI301" s="24">
        <f>H301*AP301</f>
        <v>0</v>
      </c>
      <c r="BJ301" s="24">
        <f>H301*I301</f>
        <v>0</v>
      </c>
      <c r="BK301" s="24" t="s">
        <v>1267</v>
      </c>
      <c r="BL301" s="37">
        <v>771</v>
      </c>
    </row>
    <row r="302" spans="1:64" x14ac:dyDescent="0.25">
      <c r="A302" s="5"/>
      <c r="C302" s="18" t="s">
        <v>966</v>
      </c>
      <c r="F302" s="20" t="s">
        <v>1154</v>
      </c>
      <c r="H302" s="25">
        <v>23.24</v>
      </c>
      <c r="N302" s="36"/>
      <c r="O302" s="5"/>
    </row>
    <row r="303" spans="1:64" x14ac:dyDescent="0.25">
      <c r="A303" s="4" t="s">
        <v>223</v>
      </c>
      <c r="B303" s="14" t="s">
        <v>557</v>
      </c>
      <c r="C303" s="130" t="s">
        <v>967</v>
      </c>
      <c r="D303" s="131"/>
      <c r="E303" s="131"/>
      <c r="F303" s="131"/>
      <c r="G303" s="14" t="s">
        <v>1169</v>
      </c>
      <c r="H303" s="24">
        <v>35.94</v>
      </c>
      <c r="I303" s="24">
        <v>0</v>
      </c>
      <c r="J303" s="24">
        <f>H303*AO303</f>
        <v>0</v>
      </c>
      <c r="K303" s="24">
        <f>H303*AP303</f>
        <v>0</v>
      </c>
      <c r="L303" s="24">
        <f>H303*I303</f>
        <v>0</v>
      </c>
      <c r="M303" s="24">
        <v>0</v>
      </c>
      <c r="N303" s="46">
        <f>H303*303</f>
        <v>10889.82</v>
      </c>
      <c r="O303" s="5"/>
      <c r="Z303" s="37">
        <f>IF(AQ303="5",BJ303,0)</f>
        <v>0</v>
      </c>
      <c r="AB303" s="37">
        <f>IF(AQ303="1",BH303,0)</f>
        <v>0</v>
      </c>
      <c r="AC303" s="37">
        <f>IF(AQ303="1",BI303,0)</f>
        <v>0</v>
      </c>
      <c r="AD303" s="37">
        <f>IF(AQ303="7",BH303,0)</f>
        <v>0</v>
      </c>
      <c r="AE303" s="37">
        <f>IF(AQ303="7",BI303,0)</f>
        <v>0</v>
      </c>
      <c r="AF303" s="37">
        <f>IF(AQ303="2",BH303,0)</f>
        <v>0</v>
      </c>
      <c r="AG303" s="37">
        <f>IF(AQ303="2",BI303,0)</f>
        <v>0</v>
      </c>
      <c r="AH303" s="37">
        <f>IF(AQ303="0",BJ303,0)</f>
        <v>0</v>
      </c>
      <c r="AI303" s="35"/>
      <c r="AJ303" s="24">
        <f>IF(AN303=0,L303,0)</f>
        <v>0</v>
      </c>
      <c r="AK303" s="24">
        <f>IF(AN303=15,L303,0)</f>
        <v>0</v>
      </c>
      <c r="AL303" s="24">
        <f>IF(AN303=21,L303,0)</f>
        <v>0</v>
      </c>
      <c r="AN303" s="37">
        <v>21</v>
      </c>
      <c r="AO303" s="37">
        <f>I303*0.526317991631799</f>
        <v>0</v>
      </c>
      <c r="AP303" s="37">
        <f>I303*(1-0.526317991631799)</f>
        <v>0</v>
      </c>
      <c r="AQ303" s="38" t="s">
        <v>13</v>
      </c>
      <c r="AV303" s="37">
        <f>AW303+AX303</f>
        <v>0</v>
      </c>
      <c r="AW303" s="37">
        <f>H303*AO303</f>
        <v>0</v>
      </c>
      <c r="AX303" s="37">
        <f>H303*AP303</f>
        <v>0</v>
      </c>
      <c r="AY303" s="40" t="s">
        <v>1220</v>
      </c>
      <c r="AZ303" s="40" t="s">
        <v>1258</v>
      </c>
      <c r="BA303" s="35" t="s">
        <v>1262</v>
      </c>
      <c r="BC303" s="37">
        <f>AW303+AX303</f>
        <v>0</v>
      </c>
      <c r="BD303" s="37">
        <f>I303/(100-BE303)*100</f>
        <v>0</v>
      </c>
      <c r="BE303" s="37">
        <v>0</v>
      </c>
      <c r="BF303" s="37">
        <f>N303</f>
        <v>10889.82</v>
      </c>
      <c r="BH303" s="24">
        <f>H303*AO303</f>
        <v>0</v>
      </c>
      <c r="BI303" s="24">
        <f>H303*AP303</f>
        <v>0</v>
      </c>
      <c r="BJ303" s="24">
        <f>H303*I303</f>
        <v>0</v>
      </c>
      <c r="BK303" s="24" t="s">
        <v>1267</v>
      </c>
      <c r="BL303" s="37">
        <v>771</v>
      </c>
    </row>
    <row r="304" spans="1:64" x14ac:dyDescent="0.25">
      <c r="A304" s="5"/>
      <c r="C304" s="18" t="s">
        <v>968</v>
      </c>
      <c r="F304" s="20"/>
      <c r="H304" s="25">
        <v>35.94</v>
      </c>
      <c r="N304" s="36"/>
      <c r="O304" s="5"/>
    </row>
    <row r="305" spans="1:64" x14ac:dyDescent="0.25">
      <c r="A305" s="7" t="s">
        <v>224</v>
      </c>
      <c r="B305" s="16" t="s">
        <v>558</v>
      </c>
      <c r="C305" s="134" t="s">
        <v>969</v>
      </c>
      <c r="D305" s="135"/>
      <c r="E305" s="135"/>
      <c r="F305" s="135"/>
      <c r="G305" s="16" t="s">
        <v>1169</v>
      </c>
      <c r="H305" s="26">
        <v>36.31</v>
      </c>
      <c r="I305" s="26">
        <v>0</v>
      </c>
      <c r="J305" s="26">
        <f>H305*AO305</f>
        <v>0</v>
      </c>
      <c r="K305" s="26">
        <f>H305*AP305</f>
        <v>0</v>
      </c>
      <c r="L305" s="26">
        <f>H305*I305</f>
        <v>0</v>
      </c>
      <c r="M305" s="26">
        <v>1.9199999999999998E-2</v>
      </c>
      <c r="N305" s="48">
        <f>H305*305</f>
        <v>11074.550000000001</v>
      </c>
      <c r="O305" s="5"/>
      <c r="Z305" s="37">
        <f>IF(AQ305="5",BJ305,0)</f>
        <v>0</v>
      </c>
      <c r="AB305" s="37">
        <f>IF(AQ305="1",BH305,0)</f>
        <v>0</v>
      </c>
      <c r="AC305" s="37">
        <f>IF(AQ305="1",BI305,0)</f>
        <v>0</v>
      </c>
      <c r="AD305" s="37">
        <f>IF(AQ305="7",BH305,0)</f>
        <v>0</v>
      </c>
      <c r="AE305" s="37">
        <f>IF(AQ305="7",BI305,0)</f>
        <v>0</v>
      </c>
      <c r="AF305" s="37">
        <f>IF(AQ305="2",BH305,0)</f>
        <v>0</v>
      </c>
      <c r="AG305" s="37">
        <f>IF(AQ305="2",BI305,0)</f>
        <v>0</v>
      </c>
      <c r="AH305" s="37">
        <f>IF(AQ305="0",BJ305,0)</f>
        <v>0</v>
      </c>
      <c r="AI305" s="35"/>
      <c r="AJ305" s="26">
        <f>IF(AN305=0,L305,0)</f>
        <v>0</v>
      </c>
      <c r="AK305" s="26">
        <f>IF(AN305=15,L305,0)</f>
        <v>0</v>
      </c>
      <c r="AL305" s="26">
        <f>IF(AN305=21,L305,0)</f>
        <v>0</v>
      </c>
      <c r="AN305" s="37">
        <v>21</v>
      </c>
      <c r="AO305" s="37">
        <f>I305*1</f>
        <v>0</v>
      </c>
      <c r="AP305" s="37">
        <f>I305*(1-1)</f>
        <v>0</v>
      </c>
      <c r="AQ305" s="39" t="s">
        <v>13</v>
      </c>
      <c r="AV305" s="37">
        <f>AW305+AX305</f>
        <v>0</v>
      </c>
      <c r="AW305" s="37">
        <f>H305*AO305</f>
        <v>0</v>
      </c>
      <c r="AX305" s="37">
        <f>H305*AP305</f>
        <v>0</v>
      </c>
      <c r="AY305" s="40" t="s">
        <v>1220</v>
      </c>
      <c r="AZ305" s="40" t="s">
        <v>1258</v>
      </c>
      <c r="BA305" s="35" t="s">
        <v>1262</v>
      </c>
      <c r="BC305" s="37">
        <f>AW305+AX305</f>
        <v>0</v>
      </c>
      <c r="BD305" s="37">
        <f>I305/(100-BE305)*100</f>
        <v>0</v>
      </c>
      <c r="BE305" s="37">
        <v>0</v>
      </c>
      <c r="BF305" s="37">
        <f>N305</f>
        <v>11074.550000000001</v>
      </c>
      <c r="BH305" s="26">
        <f>H305*AO305</f>
        <v>0</v>
      </c>
      <c r="BI305" s="26">
        <f>H305*AP305</f>
        <v>0</v>
      </c>
      <c r="BJ305" s="26">
        <f>H305*I305</f>
        <v>0</v>
      </c>
      <c r="BK305" s="26" t="s">
        <v>1268</v>
      </c>
      <c r="BL305" s="37">
        <v>771</v>
      </c>
    </row>
    <row r="306" spans="1:64" x14ac:dyDescent="0.25">
      <c r="A306" s="5"/>
      <c r="C306" s="18" t="s">
        <v>970</v>
      </c>
      <c r="F306" s="20" t="s">
        <v>1155</v>
      </c>
      <c r="H306" s="25">
        <v>36.31</v>
      </c>
      <c r="N306" s="36"/>
      <c r="O306" s="5"/>
    </row>
    <row r="307" spans="1:64" x14ac:dyDescent="0.25">
      <c r="A307" s="7" t="s">
        <v>225</v>
      </c>
      <c r="B307" s="16" t="s">
        <v>559</v>
      </c>
      <c r="C307" s="134" t="s">
        <v>971</v>
      </c>
      <c r="D307" s="135"/>
      <c r="E307" s="135"/>
      <c r="F307" s="135"/>
      <c r="G307" s="16" t="s">
        <v>1169</v>
      </c>
      <c r="H307" s="26">
        <v>2.5099999999999998</v>
      </c>
      <c r="I307" s="26">
        <v>0</v>
      </c>
      <c r="J307" s="26">
        <f>H307*AO307</f>
        <v>0</v>
      </c>
      <c r="K307" s="26">
        <f>H307*AP307</f>
        <v>0</v>
      </c>
      <c r="L307" s="26">
        <f>H307*I307</f>
        <v>0</v>
      </c>
      <c r="M307" s="26">
        <v>1.9199999999999998E-2</v>
      </c>
      <c r="N307" s="48">
        <f>H307*307</f>
        <v>770.56999999999994</v>
      </c>
      <c r="O307" s="5"/>
      <c r="Z307" s="37">
        <f>IF(AQ307="5",BJ307,0)</f>
        <v>0</v>
      </c>
      <c r="AB307" s="37">
        <f>IF(AQ307="1",BH307,0)</f>
        <v>0</v>
      </c>
      <c r="AC307" s="37">
        <f>IF(AQ307="1",BI307,0)</f>
        <v>0</v>
      </c>
      <c r="AD307" s="37">
        <f>IF(AQ307="7",BH307,0)</f>
        <v>0</v>
      </c>
      <c r="AE307" s="37">
        <f>IF(AQ307="7",BI307,0)</f>
        <v>0</v>
      </c>
      <c r="AF307" s="37">
        <f>IF(AQ307="2",BH307,0)</f>
        <v>0</v>
      </c>
      <c r="AG307" s="37">
        <f>IF(AQ307="2",BI307,0)</f>
        <v>0</v>
      </c>
      <c r="AH307" s="37">
        <f>IF(AQ307="0",BJ307,0)</f>
        <v>0</v>
      </c>
      <c r="AI307" s="35"/>
      <c r="AJ307" s="26">
        <f>IF(AN307=0,L307,0)</f>
        <v>0</v>
      </c>
      <c r="AK307" s="26">
        <f>IF(AN307=15,L307,0)</f>
        <v>0</v>
      </c>
      <c r="AL307" s="26">
        <f>IF(AN307=21,L307,0)</f>
        <v>0</v>
      </c>
      <c r="AN307" s="37">
        <v>21</v>
      </c>
      <c r="AO307" s="37">
        <f>I307*1</f>
        <v>0</v>
      </c>
      <c r="AP307" s="37">
        <f>I307*(1-1)</f>
        <v>0</v>
      </c>
      <c r="AQ307" s="39" t="s">
        <v>13</v>
      </c>
      <c r="AV307" s="37">
        <f>AW307+AX307</f>
        <v>0</v>
      </c>
      <c r="AW307" s="37">
        <f>H307*AO307</f>
        <v>0</v>
      </c>
      <c r="AX307" s="37">
        <f>H307*AP307</f>
        <v>0</v>
      </c>
      <c r="AY307" s="40" t="s">
        <v>1220</v>
      </c>
      <c r="AZ307" s="40" t="s">
        <v>1258</v>
      </c>
      <c r="BA307" s="35" t="s">
        <v>1262</v>
      </c>
      <c r="BC307" s="37">
        <f>AW307+AX307</f>
        <v>0</v>
      </c>
      <c r="BD307" s="37">
        <f>I307/(100-BE307)*100</f>
        <v>0</v>
      </c>
      <c r="BE307" s="37">
        <v>0</v>
      </c>
      <c r="BF307" s="37">
        <f>N307</f>
        <v>770.56999999999994</v>
      </c>
      <c r="BH307" s="26">
        <f>H307*AO307</f>
        <v>0</v>
      </c>
      <c r="BI307" s="26">
        <f>H307*AP307</f>
        <v>0</v>
      </c>
      <c r="BJ307" s="26">
        <f>H307*I307</f>
        <v>0</v>
      </c>
      <c r="BK307" s="26" t="s">
        <v>1268</v>
      </c>
      <c r="BL307" s="37">
        <v>771</v>
      </c>
    </row>
    <row r="308" spans="1:64" x14ac:dyDescent="0.25">
      <c r="A308" s="5"/>
      <c r="C308" s="18" t="s">
        <v>972</v>
      </c>
      <c r="F308" s="20" t="s">
        <v>1155</v>
      </c>
      <c r="H308" s="25">
        <v>2.5099999999999998</v>
      </c>
      <c r="N308" s="36"/>
      <c r="O308" s="5"/>
    </row>
    <row r="309" spans="1:64" x14ac:dyDescent="0.25">
      <c r="A309" s="6"/>
      <c r="B309" s="15" t="s">
        <v>560</v>
      </c>
      <c r="C309" s="132" t="s">
        <v>973</v>
      </c>
      <c r="D309" s="133"/>
      <c r="E309" s="133"/>
      <c r="F309" s="133"/>
      <c r="G309" s="22" t="s">
        <v>6</v>
      </c>
      <c r="H309" s="22" t="s">
        <v>6</v>
      </c>
      <c r="I309" s="22" t="s">
        <v>6</v>
      </c>
      <c r="J309" s="43">
        <f>SUM(J310:J313)</f>
        <v>0</v>
      </c>
      <c r="K309" s="43">
        <f>SUM(K310:K313)</f>
        <v>0</v>
      </c>
      <c r="L309" s="43">
        <f>SUM(L310:L313)</f>
        <v>0</v>
      </c>
      <c r="M309" s="35"/>
      <c r="N309" s="47">
        <f>SUM(N310:N313)</f>
        <v>35201</v>
      </c>
      <c r="O309" s="5"/>
      <c r="AI309" s="35"/>
      <c r="AS309" s="43">
        <f>SUM(AJ310:AJ313)</f>
        <v>0</v>
      </c>
      <c r="AT309" s="43">
        <f>SUM(AK310:AK313)</f>
        <v>0</v>
      </c>
      <c r="AU309" s="43">
        <f>SUM(AL310:AL313)</f>
        <v>0</v>
      </c>
    </row>
    <row r="310" spans="1:64" x14ac:dyDescent="0.25">
      <c r="A310" s="4" t="s">
        <v>226</v>
      </c>
      <c r="B310" s="14" t="s">
        <v>561</v>
      </c>
      <c r="C310" s="130" t="s">
        <v>974</v>
      </c>
      <c r="D310" s="131"/>
      <c r="E310" s="131"/>
      <c r="F310" s="131"/>
      <c r="G310" s="14" t="s">
        <v>1170</v>
      </c>
      <c r="H310" s="24">
        <v>16</v>
      </c>
      <c r="I310" s="24">
        <v>0</v>
      </c>
      <c r="J310" s="24">
        <f>H310*AO310</f>
        <v>0</v>
      </c>
      <c r="K310" s="24">
        <f>H310*AP310</f>
        <v>0</v>
      </c>
      <c r="L310" s="24">
        <f>H310*I310</f>
        <v>0</v>
      </c>
      <c r="M310" s="24">
        <v>2.9999999999999997E-4</v>
      </c>
      <c r="N310" s="46">
        <f>H310*310</f>
        <v>4960</v>
      </c>
      <c r="O310" s="5"/>
      <c r="Z310" s="37">
        <f>IF(AQ310="5",BJ310,0)</f>
        <v>0</v>
      </c>
      <c r="AB310" s="37">
        <f>IF(AQ310="1",BH310,0)</f>
        <v>0</v>
      </c>
      <c r="AC310" s="37">
        <f>IF(AQ310="1",BI310,0)</f>
        <v>0</v>
      </c>
      <c r="AD310" s="37">
        <f>IF(AQ310="7",BH310,0)</f>
        <v>0</v>
      </c>
      <c r="AE310" s="37">
        <f>IF(AQ310="7",BI310,0)</f>
        <v>0</v>
      </c>
      <c r="AF310" s="37">
        <f>IF(AQ310="2",BH310,0)</f>
        <v>0</v>
      </c>
      <c r="AG310" s="37">
        <f>IF(AQ310="2",BI310,0)</f>
        <v>0</v>
      </c>
      <c r="AH310" s="37">
        <f>IF(AQ310="0",BJ310,0)</f>
        <v>0</v>
      </c>
      <c r="AI310" s="35"/>
      <c r="AJ310" s="24">
        <f>IF(AN310=0,L310,0)</f>
        <v>0</v>
      </c>
      <c r="AK310" s="24">
        <f>IF(AN310=15,L310,0)</f>
        <v>0</v>
      </c>
      <c r="AL310" s="24">
        <f>IF(AN310=21,L310,0)</f>
        <v>0</v>
      </c>
      <c r="AN310" s="37">
        <v>21</v>
      </c>
      <c r="AO310" s="37">
        <f>I310*0.2368177613321</f>
        <v>0</v>
      </c>
      <c r="AP310" s="37">
        <f>I310*(1-0.2368177613321)</f>
        <v>0</v>
      </c>
      <c r="AQ310" s="38" t="s">
        <v>13</v>
      </c>
      <c r="AV310" s="37">
        <f>AW310+AX310</f>
        <v>0</v>
      </c>
      <c r="AW310" s="37">
        <f>H310*AO310</f>
        <v>0</v>
      </c>
      <c r="AX310" s="37">
        <f>H310*AP310</f>
        <v>0</v>
      </c>
      <c r="AY310" s="40" t="s">
        <v>1221</v>
      </c>
      <c r="AZ310" s="40" t="s">
        <v>1259</v>
      </c>
      <c r="BA310" s="35" t="s">
        <v>1262</v>
      </c>
      <c r="BC310" s="37">
        <f>AW310+AX310</f>
        <v>0</v>
      </c>
      <c r="BD310" s="37">
        <f>I310/(100-BE310)*100</f>
        <v>0</v>
      </c>
      <c r="BE310" s="37">
        <v>0</v>
      </c>
      <c r="BF310" s="37">
        <f>N310</f>
        <v>4960</v>
      </c>
      <c r="BH310" s="24">
        <f>H310*AO310</f>
        <v>0</v>
      </c>
      <c r="BI310" s="24">
        <f>H310*AP310</f>
        <v>0</v>
      </c>
      <c r="BJ310" s="24">
        <f>H310*I310</f>
        <v>0</v>
      </c>
      <c r="BK310" s="24" t="s">
        <v>1267</v>
      </c>
      <c r="BL310" s="37">
        <v>783</v>
      </c>
    </row>
    <row r="311" spans="1:64" x14ac:dyDescent="0.25">
      <c r="A311" s="4" t="s">
        <v>227</v>
      </c>
      <c r="B311" s="14" t="s">
        <v>562</v>
      </c>
      <c r="C311" s="130" t="s">
        <v>975</v>
      </c>
      <c r="D311" s="131"/>
      <c r="E311" s="131"/>
      <c r="F311" s="131"/>
      <c r="G311" s="14" t="s">
        <v>1165</v>
      </c>
      <c r="H311" s="24">
        <v>51</v>
      </c>
      <c r="I311" s="24">
        <v>0</v>
      </c>
      <c r="J311" s="24">
        <f>H311*AO311</f>
        <v>0</v>
      </c>
      <c r="K311" s="24">
        <f>H311*AP311</f>
        <v>0</v>
      </c>
      <c r="L311" s="24">
        <f>H311*I311</f>
        <v>0</v>
      </c>
      <c r="M311" s="24">
        <v>6.9999999999999994E-5</v>
      </c>
      <c r="N311" s="46">
        <f>H311*311</f>
        <v>15861</v>
      </c>
      <c r="O311" s="5"/>
      <c r="Z311" s="37">
        <f>IF(AQ311="5",BJ311,0)</f>
        <v>0</v>
      </c>
      <c r="AB311" s="37">
        <f>IF(AQ311="1",BH311,0)</f>
        <v>0</v>
      </c>
      <c r="AC311" s="37">
        <f>IF(AQ311="1",BI311,0)</f>
        <v>0</v>
      </c>
      <c r="AD311" s="37">
        <f>IF(AQ311="7",BH311,0)</f>
        <v>0</v>
      </c>
      <c r="AE311" s="37">
        <f>IF(AQ311="7",BI311,0)</f>
        <v>0</v>
      </c>
      <c r="AF311" s="37">
        <f>IF(AQ311="2",BH311,0)</f>
        <v>0</v>
      </c>
      <c r="AG311" s="37">
        <f>IF(AQ311="2",BI311,0)</f>
        <v>0</v>
      </c>
      <c r="AH311" s="37">
        <f>IF(AQ311="0",BJ311,0)</f>
        <v>0</v>
      </c>
      <c r="AI311" s="35"/>
      <c r="AJ311" s="24">
        <f>IF(AN311=0,L311,0)</f>
        <v>0</v>
      </c>
      <c r="AK311" s="24">
        <f>IF(AN311=15,L311,0)</f>
        <v>0</v>
      </c>
      <c r="AL311" s="24">
        <f>IF(AN311=21,L311,0)</f>
        <v>0</v>
      </c>
      <c r="AN311" s="37">
        <v>21</v>
      </c>
      <c r="AO311" s="37">
        <f>I311*0.191733477789816</f>
        <v>0</v>
      </c>
      <c r="AP311" s="37">
        <f>I311*(1-0.191733477789816)</f>
        <v>0</v>
      </c>
      <c r="AQ311" s="38" t="s">
        <v>13</v>
      </c>
      <c r="AV311" s="37">
        <f>AW311+AX311</f>
        <v>0</v>
      </c>
      <c r="AW311" s="37">
        <f>H311*AO311</f>
        <v>0</v>
      </c>
      <c r="AX311" s="37">
        <f>H311*AP311</f>
        <v>0</v>
      </c>
      <c r="AY311" s="40" t="s">
        <v>1221</v>
      </c>
      <c r="AZ311" s="40" t="s">
        <v>1259</v>
      </c>
      <c r="BA311" s="35" t="s">
        <v>1262</v>
      </c>
      <c r="BC311" s="37">
        <f>AW311+AX311</f>
        <v>0</v>
      </c>
      <c r="BD311" s="37">
        <f>I311/(100-BE311)*100</f>
        <v>0</v>
      </c>
      <c r="BE311" s="37">
        <v>0</v>
      </c>
      <c r="BF311" s="37">
        <f>N311</f>
        <v>15861</v>
      </c>
      <c r="BH311" s="24">
        <f>H311*AO311</f>
        <v>0</v>
      </c>
      <c r="BI311" s="24">
        <f>H311*AP311</f>
        <v>0</v>
      </c>
      <c r="BJ311" s="24">
        <f>H311*I311</f>
        <v>0</v>
      </c>
      <c r="BK311" s="24" t="s">
        <v>1267</v>
      </c>
      <c r="BL311" s="37">
        <v>783</v>
      </c>
    </row>
    <row r="312" spans="1:64" x14ac:dyDescent="0.25">
      <c r="A312" s="4" t="s">
        <v>228</v>
      </c>
      <c r="B312" s="14" t="s">
        <v>563</v>
      </c>
      <c r="C312" s="130" t="s">
        <v>976</v>
      </c>
      <c r="D312" s="131"/>
      <c r="E312" s="131"/>
      <c r="F312" s="131"/>
      <c r="G312" s="14" t="s">
        <v>1165</v>
      </c>
      <c r="H312" s="24">
        <v>18</v>
      </c>
      <c r="I312" s="24">
        <v>0</v>
      </c>
      <c r="J312" s="24">
        <f>H312*AO312</f>
        <v>0</v>
      </c>
      <c r="K312" s="24">
        <f>H312*AP312</f>
        <v>0</v>
      </c>
      <c r="L312" s="24">
        <f>H312*I312</f>
        <v>0</v>
      </c>
      <c r="M312" s="24">
        <v>9.0000000000000006E-5</v>
      </c>
      <c r="N312" s="46">
        <f>H312*312</f>
        <v>5616</v>
      </c>
      <c r="O312" s="5"/>
      <c r="Z312" s="37">
        <f>IF(AQ312="5",BJ312,0)</f>
        <v>0</v>
      </c>
      <c r="AB312" s="37">
        <f>IF(AQ312="1",BH312,0)</f>
        <v>0</v>
      </c>
      <c r="AC312" s="37">
        <f>IF(AQ312="1",BI312,0)</f>
        <v>0</v>
      </c>
      <c r="AD312" s="37">
        <f>IF(AQ312="7",BH312,0)</f>
        <v>0</v>
      </c>
      <c r="AE312" s="37">
        <f>IF(AQ312="7",BI312,0)</f>
        <v>0</v>
      </c>
      <c r="AF312" s="37">
        <f>IF(AQ312="2",BH312,0)</f>
        <v>0</v>
      </c>
      <c r="AG312" s="37">
        <f>IF(AQ312="2",BI312,0)</f>
        <v>0</v>
      </c>
      <c r="AH312" s="37">
        <f>IF(AQ312="0",BJ312,0)</f>
        <v>0</v>
      </c>
      <c r="AI312" s="35"/>
      <c r="AJ312" s="24">
        <f>IF(AN312=0,L312,0)</f>
        <v>0</v>
      </c>
      <c r="AK312" s="24">
        <f>IF(AN312=15,L312,0)</f>
        <v>0</v>
      </c>
      <c r="AL312" s="24">
        <f>IF(AN312=21,L312,0)</f>
        <v>0</v>
      </c>
      <c r="AN312" s="37">
        <v>21</v>
      </c>
      <c r="AO312" s="37">
        <f>I312*0.212782462057336</f>
        <v>0</v>
      </c>
      <c r="AP312" s="37">
        <f>I312*(1-0.212782462057336)</f>
        <v>0</v>
      </c>
      <c r="AQ312" s="38" t="s">
        <v>13</v>
      </c>
      <c r="AV312" s="37">
        <f>AW312+AX312</f>
        <v>0</v>
      </c>
      <c r="AW312" s="37">
        <f>H312*AO312</f>
        <v>0</v>
      </c>
      <c r="AX312" s="37">
        <f>H312*AP312</f>
        <v>0</v>
      </c>
      <c r="AY312" s="40" t="s">
        <v>1221</v>
      </c>
      <c r="AZ312" s="40" t="s">
        <v>1259</v>
      </c>
      <c r="BA312" s="35" t="s">
        <v>1262</v>
      </c>
      <c r="BC312" s="37">
        <f>AW312+AX312</f>
        <v>0</v>
      </c>
      <c r="BD312" s="37">
        <f>I312/(100-BE312)*100</f>
        <v>0</v>
      </c>
      <c r="BE312" s="37">
        <v>0</v>
      </c>
      <c r="BF312" s="37">
        <f>N312</f>
        <v>5616</v>
      </c>
      <c r="BH312" s="24">
        <f>H312*AO312</f>
        <v>0</v>
      </c>
      <c r="BI312" s="24">
        <f>H312*AP312</f>
        <v>0</v>
      </c>
      <c r="BJ312" s="24">
        <f>H312*I312</f>
        <v>0</v>
      </c>
      <c r="BK312" s="24" t="s">
        <v>1267</v>
      </c>
      <c r="BL312" s="37">
        <v>783</v>
      </c>
    </row>
    <row r="313" spans="1:64" x14ac:dyDescent="0.25">
      <c r="A313" s="4" t="s">
        <v>229</v>
      </c>
      <c r="B313" s="14" t="s">
        <v>564</v>
      </c>
      <c r="C313" s="130" t="s">
        <v>977</v>
      </c>
      <c r="D313" s="131"/>
      <c r="E313" s="131"/>
      <c r="F313" s="131"/>
      <c r="G313" s="14" t="s">
        <v>1165</v>
      </c>
      <c r="H313" s="24">
        <v>28</v>
      </c>
      <c r="I313" s="24">
        <v>0</v>
      </c>
      <c r="J313" s="24">
        <f>H313*AO313</f>
        <v>0</v>
      </c>
      <c r="K313" s="24">
        <f>H313*AP313</f>
        <v>0</v>
      </c>
      <c r="L313" s="24">
        <f>H313*I313</f>
        <v>0</v>
      </c>
      <c r="M313" s="24">
        <v>9.0000000000000006E-5</v>
      </c>
      <c r="N313" s="46">
        <f>H313*313</f>
        <v>8764</v>
      </c>
      <c r="O313" s="5"/>
      <c r="Z313" s="37">
        <f>IF(AQ313="5",BJ313,0)</f>
        <v>0</v>
      </c>
      <c r="AB313" s="37">
        <f>IF(AQ313="1",BH313,0)</f>
        <v>0</v>
      </c>
      <c r="AC313" s="37">
        <f>IF(AQ313="1",BI313,0)</f>
        <v>0</v>
      </c>
      <c r="AD313" s="37">
        <f>IF(AQ313="7",BH313,0)</f>
        <v>0</v>
      </c>
      <c r="AE313" s="37">
        <f>IF(AQ313="7",BI313,0)</f>
        <v>0</v>
      </c>
      <c r="AF313" s="37">
        <f>IF(AQ313="2",BH313,0)</f>
        <v>0</v>
      </c>
      <c r="AG313" s="37">
        <f>IF(AQ313="2",BI313,0)</f>
        <v>0</v>
      </c>
      <c r="AH313" s="37">
        <f>IF(AQ313="0",BJ313,0)</f>
        <v>0</v>
      </c>
      <c r="AI313" s="35"/>
      <c r="AJ313" s="24">
        <f>IF(AN313=0,L313,0)</f>
        <v>0</v>
      </c>
      <c r="AK313" s="24">
        <f>IF(AN313=15,L313,0)</f>
        <v>0</v>
      </c>
      <c r="AL313" s="24">
        <f>IF(AN313=21,L313,0)</f>
        <v>0</v>
      </c>
      <c r="AN313" s="37">
        <v>21</v>
      </c>
      <c r="AO313" s="37">
        <f>I313*0.21593106749641</f>
        <v>0</v>
      </c>
      <c r="AP313" s="37">
        <f>I313*(1-0.21593106749641)</f>
        <v>0</v>
      </c>
      <c r="AQ313" s="38" t="s">
        <v>13</v>
      </c>
      <c r="AV313" s="37">
        <f>AW313+AX313</f>
        <v>0</v>
      </c>
      <c r="AW313" s="37">
        <f>H313*AO313</f>
        <v>0</v>
      </c>
      <c r="AX313" s="37">
        <f>H313*AP313</f>
        <v>0</v>
      </c>
      <c r="AY313" s="40" t="s">
        <v>1221</v>
      </c>
      <c r="AZ313" s="40" t="s">
        <v>1259</v>
      </c>
      <c r="BA313" s="35" t="s">
        <v>1262</v>
      </c>
      <c r="BC313" s="37">
        <f>AW313+AX313</f>
        <v>0</v>
      </c>
      <c r="BD313" s="37">
        <f>I313/(100-BE313)*100</f>
        <v>0</v>
      </c>
      <c r="BE313" s="37">
        <v>0</v>
      </c>
      <c r="BF313" s="37">
        <f>N313</f>
        <v>8764</v>
      </c>
      <c r="BH313" s="24">
        <f>H313*AO313</f>
        <v>0</v>
      </c>
      <c r="BI313" s="24">
        <f>H313*AP313</f>
        <v>0</v>
      </c>
      <c r="BJ313" s="24">
        <f>H313*I313</f>
        <v>0</v>
      </c>
      <c r="BK313" s="24" t="s">
        <v>1267</v>
      </c>
      <c r="BL313" s="37">
        <v>783</v>
      </c>
    </row>
    <row r="314" spans="1:64" x14ac:dyDescent="0.25">
      <c r="A314" s="6"/>
      <c r="B314" s="15" t="s">
        <v>102</v>
      </c>
      <c r="C314" s="132" t="s">
        <v>978</v>
      </c>
      <c r="D314" s="133"/>
      <c r="E314" s="133"/>
      <c r="F314" s="133"/>
      <c r="G314" s="22" t="s">
        <v>6</v>
      </c>
      <c r="H314" s="22" t="s">
        <v>6</v>
      </c>
      <c r="I314" s="22" t="s">
        <v>6</v>
      </c>
      <c r="J314" s="43">
        <f>SUM(J315:J317)</f>
        <v>0</v>
      </c>
      <c r="K314" s="43">
        <f>SUM(K315:K317)</f>
        <v>0</v>
      </c>
      <c r="L314" s="43">
        <f>SUM(L315:L317)</f>
        <v>0</v>
      </c>
      <c r="M314" s="35"/>
      <c r="N314" s="47">
        <f>SUM(N315:N317)</f>
        <v>1106.9000000000001</v>
      </c>
      <c r="O314" s="5"/>
      <c r="AI314" s="35"/>
      <c r="AS314" s="43">
        <f>SUM(AJ315:AJ317)</f>
        <v>0</v>
      </c>
      <c r="AT314" s="43">
        <f>SUM(AK315:AK317)</f>
        <v>0</v>
      </c>
      <c r="AU314" s="43">
        <f>SUM(AL315:AL317)</f>
        <v>0</v>
      </c>
    </row>
    <row r="315" spans="1:64" x14ac:dyDescent="0.25">
      <c r="A315" s="4" t="s">
        <v>230</v>
      </c>
      <c r="B315" s="14" t="s">
        <v>565</v>
      </c>
      <c r="C315" s="130" t="s">
        <v>979</v>
      </c>
      <c r="D315" s="131"/>
      <c r="E315" s="131"/>
      <c r="F315" s="131"/>
      <c r="G315" s="14" t="s">
        <v>1167</v>
      </c>
      <c r="H315" s="24">
        <v>0.1</v>
      </c>
      <c r="I315" s="24">
        <v>0</v>
      </c>
      <c r="J315" s="24">
        <f>H315*AO315</f>
        <v>0</v>
      </c>
      <c r="K315" s="24">
        <f>H315*AP315</f>
        <v>0</v>
      </c>
      <c r="L315" s="24">
        <f>H315*I315</f>
        <v>0</v>
      </c>
      <c r="M315" s="24">
        <v>0</v>
      </c>
      <c r="N315" s="46">
        <f>H315*315</f>
        <v>31.5</v>
      </c>
      <c r="O315" s="5"/>
      <c r="Z315" s="37">
        <f>IF(AQ315="5",BJ315,0)</f>
        <v>0</v>
      </c>
      <c r="AB315" s="37">
        <f>IF(AQ315="1",BH315,0)</f>
        <v>0</v>
      </c>
      <c r="AC315" s="37">
        <f>IF(AQ315="1",BI315,0)</f>
        <v>0</v>
      </c>
      <c r="AD315" s="37">
        <f>IF(AQ315="7",BH315,0)</f>
        <v>0</v>
      </c>
      <c r="AE315" s="37">
        <f>IF(AQ315="7",BI315,0)</f>
        <v>0</v>
      </c>
      <c r="AF315" s="37">
        <f>IF(AQ315="2",BH315,0)</f>
        <v>0</v>
      </c>
      <c r="AG315" s="37">
        <f>IF(AQ315="2",BI315,0)</f>
        <v>0</v>
      </c>
      <c r="AH315" s="37">
        <f>IF(AQ315="0",BJ315,0)</f>
        <v>0</v>
      </c>
      <c r="AI315" s="35"/>
      <c r="AJ315" s="24">
        <f>IF(AN315=0,L315,0)</f>
        <v>0</v>
      </c>
      <c r="AK315" s="24">
        <f>IF(AN315=15,L315,0)</f>
        <v>0</v>
      </c>
      <c r="AL315" s="24">
        <f>IF(AN315=21,L315,0)</f>
        <v>0</v>
      </c>
      <c r="AN315" s="37">
        <v>21</v>
      </c>
      <c r="AO315" s="37">
        <f>I315*0</f>
        <v>0</v>
      </c>
      <c r="AP315" s="37">
        <f>I315*(1-0)</f>
        <v>0</v>
      </c>
      <c r="AQ315" s="38" t="s">
        <v>7</v>
      </c>
      <c r="AV315" s="37">
        <f>AW315+AX315</f>
        <v>0</v>
      </c>
      <c r="AW315" s="37">
        <f>H315*AO315</f>
        <v>0</v>
      </c>
      <c r="AX315" s="37">
        <f>H315*AP315</f>
        <v>0</v>
      </c>
      <c r="AY315" s="40" t="s">
        <v>1222</v>
      </c>
      <c r="AZ315" s="40" t="s">
        <v>1260</v>
      </c>
      <c r="BA315" s="35" t="s">
        <v>1262</v>
      </c>
      <c r="BC315" s="37">
        <f>AW315+AX315</f>
        <v>0</v>
      </c>
      <c r="BD315" s="37">
        <f>I315/(100-BE315)*100</f>
        <v>0</v>
      </c>
      <c r="BE315" s="37">
        <v>0</v>
      </c>
      <c r="BF315" s="37">
        <f>N315</f>
        <v>31.5</v>
      </c>
      <c r="BH315" s="24">
        <f>H315*AO315</f>
        <v>0</v>
      </c>
      <c r="BI315" s="24">
        <f>H315*AP315</f>
        <v>0</v>
      </c>
      <c r="BJ315" s="24">
        <f>H315*I315</f>
        <v>0</v>
      </c>
      <c r="BK315" s="24" t="s">
        <v>1267</v>
      </c>
      <c r="BL315" s="37">
        <v>96</v>
      </c>
    </row>
    <row r="316" spans="1:64" x14ac:dyDescent="0.25">
      <c r="A316" s="4" t="s">
        <v>231</v>
      </c>
      <c r="B316" s="14" t="s">
        <v>566</v>
      </c>
      <c r="C316" s="130" t="s">
        <v>980</v>
      </c>
      <c r="D316" s="131"/>
      <c r="E316" s="131"/>
      <c r="F316" s="131"/>
      <c r="G316" s="14" t="s">
        <v>1167</v>
      </c>
      <c r="H316" s="24">
        <v>2.4</v>
      </c>
      <c r="I316" s="24">
        <v>0</v>
      </c>
      <c r="J316" s="24">
        <f>H316*AO316</f>
        <v>0</v>
      </c>
      <c r="K316" s="24">
        <f>H316*AP316</f>
        <v>0</v>
      </c>
      <c r="L316" s="24">
        <f>H316*I316</f>
        <v>0</v>
      </c>
      <c r="M316" s="24">
        <v>0</v>
      </c>
      <c r="N316" s="46">
        <f>H316*316</f>
        <v>758.4</v>
      </c>
      <c r="O316" s="5"/>
      <c r="Z316" s="37">
        <f>IF(AQ316="5",BJ316,0)</f>
        <v>0</v>
      </c>
      <c r="AB316" s="37">
        <f>IF(AQ316="1",BH316,0)</f>
        <v>0</v>
      </c>
      <c r="AC316" s="37">
        <f>IF(AQ316="1",BI316,0)</f>
        <v>0</v>
      </c>
      <c r="AD316" s="37">
        <f>IF(AQ316="7",BH316,0)</f>
        <v>0</v>
      </c>
      <c r="AE316" s="37">
        <f>IF(AQ316="7",BI316,0)</f>
        <v>0</v>
      </c>
      <c r="AF316" s="37">
        <f>IF(AQ316="2",BH316,0)</f>
        <v>0</v>
      </c>
      <c r="AG316" s="37">
        <f>IF(AQ316="2",BI316,0)</f>
        <v>0</v>
      </c>
      <c r="AH316" s="37">
        <f>IF(AQ316="0",BJ316,0)</f>
        <v>0</v>
      </c>
      <c r="AI316" s="35"/>
      <c r="AJ316" s="24">
        <f>IF(AN316=0,L316,0)</f>
        <v>0</v>
      </c>
      <c r="AK316" s="24">
        <f>IF(AN316=15,L316,0)</f>
        <v>0</v>
      </c>
      <c r="AL316" s="24">
        <f>IF(AN316=21,L316,0)</f>
        <v>0</v>
      </c>
      <c r="AN316" s="37">
        <v>21</v>
      </c>
      <c r="AO316" s="37">
        <f>I316*0</f>
        <v>0</v>
      </c>
      <c r="AP316" s="37">
        <f>I316*(1-0)</f>
        <v>0</v>
      </c>
      <c r="AQ316" s="38" t="s">
        <v>7</v>
      </c>
      <c r="AV316" s="37">
        <f>AW316+AX316</f>
        <v>0</v>
      </c>
      <c r="AW316" s="37">
        <f>H316*AO316</f>
        <v>0</v>
      </c>
      <c r="AX316" s="37">
        <f>H316*AP316</f>
        <v>0</v>
      </c>
      <c r="AY316" s="40" t="s">
        <v>1222</v>
      </c>
      <c r="AZ316" s="40" t="s">
        <v>1260</v>
      </c>
      <c r="BA316" s="35" t="s">
        <v>1262</v>
      </c>
      <c r="BC316" s="37">
        <f>AW316+AX316</f>
        <v>0</v>
      </c>
      <c r="BD316" s="37">
        <f>I316/(100-BE316)*100</f>
        <v>0</v>
      </c>
      <c r="BE316" s="37">
        <v>0</v>
      </c>
      <c r="BF316" s="37">
        <f>N316</f>
        <v>758.4</v>
      </c>
      <c r="BH316" s="24">
        <f>H316*AO316</f>
        <v>0</v>
      </c>
      <c r="BI316" s="24">
        <f>H316*AP316</f>
        <v>0</v>
      </c>
      <c r="BJ316" s="24">
        <f>H316*I316</f>
        <v>0</v>
      </c>
      <c r="BK316" s="24" t="s">
        <v>1267</v>
      </c>
      <c r="BL316" s="37">
        <v>96</v>
      </c>
    </row>
    <row r="317" spans="1:64" x14ac:dyDescent="0.25">
      <c r="A317" s="4" t="s">
        <v>232</v>
      </c>
      <c r="B317" s="14" t="s">
        <v>567</v>
      </c>
      <c r="C317" s="130" t="s">
        <v>981</v>
      </c>
      <c r="D317" s="131"/>
      <c r="E317" s="131"/>
      <c r="F317" s="131"/>
      <c r="G317" s="14" t="s">
        <v>1169</v>
      </c>
      <c r="H317" s="24">
        <v>1</v>
      </c>
      <c r="I317" s="24">
        <v>0</v>
      </c>
      <c r="J317" s="24">
        <f>H317*AO317</f>
        <v>0</v>
      </c>
      <c r="K317" s="24">
        <f>H317*AP317</f>
        <v>0</v>
      </c>
      <c r="L317" s="24">
        <f>H317*I317</f>
        <v>0</v>
      </c>
      <c r="M317" s="24">
        <v>2.9299999999999999E-3</v>
      </c>
      <c r="N317" s="46">
        <f>H317*317</f>
        <v>317</v>
      </c>
      <c r="O317" s="5"/>
      <c r="Z317" s="37">
        <f>IF(AQ317="5",BJ317,0)</f>
        <v>0</v>
      </c>
      <c r="AB317" s="37">
        <f>IF(AQ317="1",BH317,0)</f>
        <v>0</v>
      </c>
      <c r="AC317" s="37">
        <f>IF(AQ317="1",BI317,0)</f>
        <v>0</v>
      </c>
      <c r="AD317" s="37">
        <f>IF(AQ317="7",BH317,0)</f>
        <v>0</v>
      </c>
      <c r="AE317" s="37">
        <f>IF(AQ317="7",BI317,0)</f>
        <v>0</v>
      </c>
      <c r="AF317" s="37">
        <f>IF(AQ317="2",BH317,0)</f>
        <v>0</v>
      </c>
      <c r="AG317" s="37">
        <f>IF(AQ317="2",BI317,0)</f>
        <v>0</v>
      </c>
      <c r="AH317" s="37">
        <f>IF(AQ317="0",BJ317,0)</f>
        <v>0</v>
      </c>
      <c r="AI317" s="35"/>
      <c r="AJ317" s="24">
        <f>IF(AN317=0,L317,0)</f>
        <v>0</v>
      </c>
      <c r="AK317" s="24">
        <f>IF(AN317=15,L317,0)</f>
        <v>0</v>
      </c>
      <c r="AL317" s="24">
        <f>IF(AN317=21,L317,0)</f>
        <v>0</v>
      </c>
      <c r="AN317" s="37">
        <v>21</v>
      </c>
      <c r="AO317" s="37">
        <f>I317*0.187179487179487</f>
        <v>0</v>
      </c>
      <c r="AP317" s="37">
        <f>I317*(1-0.187179487179487)</f>
        <v>0</v>
      </c>
      <c r="AQ317" s="38" t="s">
        <v>7</v>
      </c>
      <c r="AV317" s="37">
        <f>AW317+AX317</f>
        <v>0</v>
      </c>
      <c r="AW317" s="37">
        <f>H317*AO317</f>
        <v>0</v>
      </c>
      <c r="AX317" s="37">
        <f>H317*AP317</f>
        <v>0</v>
      </c>
      <c r="AY317" s="40" t="s">
        <v>1222</v>
      </c>
      <c r="AZ317" s="40" t="s">
        <v>1260</v>
      </c>
      <c r="BA317" s="35" t="s">
        <v>1262</v>
      </c>
      <c r="BC317" s="37">
        <f>AW317+AX317</f>
        <v>0</v>
      </c>
      <c r="BD317" s="37">
        <f>I317/(100-BE317)*100</f>
        <v>0</v>
      </c>
      <c r="BE317" s="37">
        <v>0</v>
      </c>
      <c r="BF317" s="37">
        <f>N317</f>
        <v>317</v>
      </c>
      <c r="BH317" s="24">
        <f>H317*AO317</f>
        <v>0</v>
      </c>
      <c r="BI317" s="24">
        <f>H317*AP317</f>
        <v>0</v>
      </c>
      <c r="BJ317" s="24">
        <f>H317*I317</f>
        <v>0</v>
      </c>
      <c r="BK317" s="24" t="s">
        <v>1267</v>
      </c>
      <c r="BL317" s="37">
        <v>96</v>
      </c>
    </row>
    <row r="318" spans="1:64" x14ac:dyDescent="0.25">
      <c r="A318" s="6"/>
      <c r="B318" s="15" t="s">
        <v>568</v>
      </c>
      <c r="C318" s="132" t="s">
        <v>982</v>
      </c>
      <c r="D318" s="133"/>
      <c r="E318" s="133"/>
      <c r="F318" s="133"/>
      <c r="G318" s="22" t="s">
        <v>6</v>
      </c>
      <c r="H318" s="22" t="s">
        <v>6</v>
      </c>
      <c r="I318" s="22" t="s">
        <v>6</v>
      </c>
      <c r="J318" s="43">
        <f>SUM(J319:J320)</f>
        <v>0</v>
      </c>
      <c r="K318" s="43">
        <f>SUM(K319:K320)</f>
        <v>0</v>
      </c>
      <c r="L318" s="43">
        <f>SUM(L319:L320)</f>
        <v>0</v>
      </c>
      <c r="M318" s="35"/>
      <c r="N318" s="47">
        <f>SUM(N319:N320)</f>
        <v>40368.199999999997</v>
      </c>
      <c r="O318" s="5"/>
      <c r="AI318" s="35"/>
      <c r="AS318" s="43">
        <f>SUM(AJ319:AJ320)</f>
        <v>0</v>
      </c>
      <c r="AT318" s="43">
        <f>SUM(AK319:AK320)</f>
        <v>0</v>
      </c>
      <c r="AU318" s="43">
        <f>SUM(AL319:AL320)</f>
        <v>0</v>
      </c>
    </row>
    <row r="319" spans="1:64" x14ac:dyDescent="0.25">
      <c r="A319" s="4" t="s">
        <v>233</v>
      </c>
      <c r="B319" s="14" t="s">
        <v>569</v>
      </c>
      <c r="C319" s="130" t="s">
        <v>983</v>
      </c>
      <c r="D319" s="131"/>
      <c r="E319" s="131"/>
      <c r="F319" s="131"/>
      <c r="G319" s="14" t="s">
        <v>1169</v>
      </c>
      <c r="H319" s="24">
        <v>35</v>
      </c>
      <c r="I319" s="24">
        <v>0</v>
      </c>
      <c r="J319" s="24">
        <f>H319*AO319</f>
        <v>0</v>
      </c>
      <c r="K319" s="24">
        <f>H319*AP319</f>
        <v>0</v>
      </c>
      <c r="L319" s="24">
        <f>H319*I319</f>
        <v>0</v>
      </c>
      <c r="M319" s="24">
        <v>3.5E-4</v>
      </c>
      <c r="N319" s="46">
        <f>H319*319</f>
        <v>11165</v>
      </c>
      <c r="O319" s="5"/>
      <c r="Z319" s="37">
        <f>IF(AQ319="5",BJ319,0)</f>
        <v>0</v>
      </c>
      <c r="AB319" s="37">
        <f>IF(AQ319="1",BH319,0)</f>
        <v>0</v>
      </c>
      <c r="AC319" s="37">
        <f>IF(AQ319="1",BI319,0)</f>
        <v>0</v>
      </c>
      <c r="AD319" s="37">
        <f>IF(AQ319="7",BH319,0)</f>
        <v>0</v>
      </c>
      <c r="AE319" s="37">
        <f>IF(AQ319="7",BI319,0)</f>
        <v>0</v>
      </c>
      <c r="AF319" s="37">
        <f>IF(AQ319="2",BH319,0)</f>
        <v>0</v>
      </c>
      <c r="AG319" s="37">
        <f>IF(AQ319="2",BI319,0)</f>
        <v>0</v>
      </c>
      <c r="AH319" s="37">
        <f>IF(AQ319="0",BJ319,0)</f>
        <v>0</v>
      </c>
      <c r="AI319" s="35"/>
      <c r="AJ319" s="24">
        <f>IF(AN319=0,L319,0)</f>
        <v>0</v>
      </c>
      <c r="AK319" s="24">
        <f>IF(AN319=15,L319,0)</f>
        <v>0</v>
      </c>
      <c r="AL319" s="24">
        <f>IF(AN319=21,L319,0)</f>
        <v>0</v>
      </c>
      <c r="AN319" s="37">
        <v>21</v>
      </c>
      <c r="AO319" s="37">
        <f>I319*0.598170731707317</f>
        <v>0</v>
      </c>
      <c r="AP319" s="37">
        <f>I319*(1-0.598170731707317)</f>
        <v>0</v>
      </c>
      <c r="AQ319" s="38" t="s">
        <v>13</v>
      </c>
      <c r="AV319" s="37">
        <f>AW319+AX319</f>
        <v>0</v>
      </c>
      <c r="AW319" s="37">
        <f>H319*AO319</f>
        <v>0</v>
      </c>
      <c r="AX319" s="37">
        <f>H319*AP319</f>
        <v>0</v>
      </c>
      <c r="AY319" s="40" t="s">
        <v>1223</v>
      </c>
      <c r="AZ319" s="40" t="s">
        <v>1259</v>
      </c>
      <c r="BA319" s="35" t="s">
        <v>1262</v>
      </c>
      <c r="BC319" s="37">
        <f>AW319+AX319</f>
        <v>0</v>
      </c>
      <c r="BD319" s="37">
        <f>I319/(100-BE319)*100</f>
        <v>0</v>
      </c>
      <c r="BE319" s="37">
        <v>0</v>
      </c>
      <c r="BF319" s="37">
        <f>N319</f>
        <v>11165</v>
      </c>
      <c r="BH319" s="24">
        <f>H319*AO319</f>
        <v>0</v>
      </c>
      <c r="BI319" s="24">
        <f>H319*AP319</f>
        <v>0</v>
      </c>
      <c r="BJ319" s="24">
        <f>H319*I319</f>
        <v>0</v>
      </c>
      <c r="BK319" s="24" t="s">
        <v>1267</v>
      </c>
      <c r="BL319" s="37">
        <v>784</v>
      </c>
    </row>
    <row r="320" spans="1:64" x14ac:dyDescent="0.25">
      <c r="A320" s="4" t="s">
        <v>234</v>
      </c>
      <c r="B320" s="14" t="s">
        <v>570</v>
      </c>
      <c r="C320" s="130" t="s">
        <v>984</v>
      </c>
      <c r="D320" s="131"/>
      <c r="E320" s="131"/>
      <c r="F320" s="131"/>
      <c r="G320" s="14" t="s">
        <v>1169</v>
      </c>
      <c r="H320" s="24">
        <v>91.26</v>
      </c>
      <c r="I320" s="24">
        <v>0</v>
      </c>
      <c r="J320" s="24">
        <f>H320*AO320</f>
        <v>0</v>
      </c>
      <c r="K320" s="24">
        <f>H320*AP320</f>
        <v>0</v>
      </c>
      <c r="L320" s="24">
        <f>H320*I320</f>
        <v>0</v>
      </c>
      <c r="M320" s="24">
        <v>2.2000000000000001E-4</v>
      </c>
      <c r="N320" s="46">
        <f>H320*320</f>
        <v>29203.200000000001</v>
      </c>
      <c r="O320" s="5"/>
      <c r="Z320" s="37">
        <f>IF(AQ320="5",BJ320,0)</f>
        <v>0</v>
      </c>
      <c r="AB320" s="37">
        <f>IF(AQ320="1",BH320,0)</f>
        <v>0</v>
      </c>
      <c r="AC320" s="37">
        <f>IF(AQ320="1",BI320,0)</f>
        <v>0</v>
      </c>
      <c r="AD320" s="37">
        <f>IF(AQ320="7",BH320,0)</f>
        <v>0</v>
      </c>
      <c r="AE320" s="37">
        <f>IF(AQ320="7",BI320,0)</f>
        <v>0</v>
      </c>
      <c r="AF320" s="37">
        <f>IF(AQ320="2",BH320,0)</f>
        <v>0</v>
      </c>
      <c r="AG320" s="37">
        <f>IF(AQ320="2",BI320,0)</f>
        <v>0</v>
      </c>
      <c r="AH320" s="37">
        <f>IF(AQ320="0",BJ320,0)</f>
        <v>0</v>
      </c>
      <c r="AI320" s="35"/>
      <c r="AJ320" s="24">
        <f>IF(AN320=0,L320,0)</f>
        <v>0</v>
      </c>
      <c r="AK320" s="24">
        <f>IF(AN320=15,L320,0)</f>
        <v>0</v>
      </c>
      <c r="AL320" s="24">
        <f>IF(AN320=21,L320,0)</f>
        <v>0</v>
      </c>
      <c r="AN320" s="37">
        <v>21</v>
      </c>
      <c r="AO320" s="37">
        <f>I320*0.073407963655799</f>
        <v>0</v>
      </c>
      <c r="AP320" s="37">
        <f>I320*(1-0.073407963655799)</f>
        <v>0</v>
      </c>
      <c r="AQ320" s="38" t="s">
        <v>13</v>
      </c>
      <c r="AV320" s="37">
        <f>AW320+AX320</f>
        <v>0</v>
      </c>
      <c r="AW320" s="37">
        <f>H320*AO320</f>
        <v>0</v>
      </c>
      <c r="AX320" s="37">
        <f>H320*AP320</f>
        <v>0</v>
      </c>
      <c r="AY320" s="40" t="s">
        <v>1223</v>
      </c>
      <c r="AZ320" s="40" t="s">
        <v>1259</v>
      </c>
      <c r="BA320" s="35" t="s">
        <v>1262</v>
      </c>
      <c r="BC320" s="37">
        <f>AW320+AX320</f>
        <v>0</v>
      </c>
      <c r="BD320" s="37">
        <f>I320/(100-BE320)*100</f>
        <v>0</v>
      </c>
      <c r="BE320" s="37">
        <v>0</v>
      </c>
      <c r="BF320" s="37">
        <f>N320</f>
        <v>29203.200000000001</v>
      </c>
      <c r="BH320" s="24">
        <f>H320*AO320</f>
        <v>0</v>
      </c>
      <c r="BI320" s="24">
        <f>H320*AP320</f>
        <v>0</v>
      </c>
      <c r="BJ320" s="24">
        <f>H320*I320</f>
        <v>0</v>
      </c>
      <c r="BK320" s="24" t="s">
        <v>1267</v>
      </c>
      <c r="BL320" s="37">
        <v>784</v>
      </c>
    </row>
    <row r="321" spans="1:64" x14ac:dyDescent="0.25">
      <c r="A321" s="5"/>
      <c r="C321" s="18" t="s">
        <v>985</v>
      </c>
      <c r="F321" s="20"/>
      <c r="H321" s="25">
        <v>91.26</v>
      </c>
      <c r="N321" s="36"/>
      <c r="O321" s="5"/>
    </row>
    <row r="322" spans="1:64" x14ac:dyDescent="0.25">
      <c r="A322" s="6"/>
      <c r="B322" s="15" t="s">
        <v>571</v>
      </c>
      <c r="C322" s="132" t="s">
        <v>986</v>
      </c>
      <c r="D322" s="133"/>
      <c r="E322" s="133"/>
      <c r="F322" s="133"/>
      <c r="G322" s="22" t="s">
        <v>6</v>
      </c>
      <c r="H322" s="22" t="s">
        <v>6</v>
      </c>
      <c r="I322" s="22" t="s">
        <v>6</v>
      </c>
      <c r="J322" s="43">
        <f>SUM(J323:J324)</f>
        <v>0</v>
      </c>
      <c r="K322" s="43">
        <f>SUM(K323:K324)</f>
        <v>0</v>
      </c>
      <c r="L322" s="43">
        <f>SUM(L323:L324)</f>
        <v>0</v>
      </c>
      <c r="M322" s="35"/>
      <c r="N322" s="47">
        <f>SUM(N323:N324)</f>
        <v>971</v>
      </c>
      <c r="O322" s="5"/>
      <c r="AI322" s="35"/>
      <c r="AS322" s="43">
        <f>SUM(AJ323:AJ324)</f>
        <v>0</v>
      </c>
      <c r="AT322" s="43">
        <f>SUM(AK323:AK324)</f>
        <v>0</v>
      </c>
      <c r="AU322" s="43">
        <f>SUM(AL323:AL324)</f>
        <v>0</v>
      </c>
    </row>
    <row r="323" spans="1:64" x14ac:dyDescent="0.25">
      <c r="A323" s="4" t="s">
        <v>235</v>
      </c>
      <c r="B323" s="14" t="s">
        <v>572</v>
      </c>
      <c r="C323" s="130" t="s">
        <v>987</v>
      </c>
      <c r="D323" s="131"/>
      <c r="E323" s="131"/>
      <c r="F323" s="131"/>
      <c r="G323" s="14" t="s">
        <v>1170</v>
      </c>
      <c r="H323" s="24">
        <v>1</v>
      </c>
      <c r="I323" s="24">
        <v>0</v>
      </c>
      <c r="J323" s="24">
        <f>H323*AO323</f>
        <v>0</v>
      </c>
      <c r="K323" s="24">
        <f>H323*AP323</f>
        <v>0</v>
      </c>
      <c r="L323" s="24">
        <f>H323*I323</f>
        <v>0</v>
      </c>
      <c r="M323" s="24">
        <v>1.6E-2</v>
      </c>
      <c r="N323" s="46">
        <f>H323*323</f>
        <v>323</v>
      </c>
      <c r="O323" s="5"/>
      <c r="Z323" s="37">
        <f>IF(AQ323="5",BJ323,0)</f>
        <v>0</v>
      </c>
      <c r="AB323" s="37">
        <f>IF(AQ323="1",BH323,0)</f>
        <v>0</v>
      </c>
      <c r="AC323" s="37">
        <f>IF(AQ323="1",BI323,0)</f>
        <v>0</v>
      </c>
      <c r="AD323" s="37">
        <f>IF(AQ323="7",BH323,0)</f>
        <v>0</v>
      </c>
      <c r="AE323" s="37">
        <f>IF(AQ323="7",BI323,0)</f>
        <v>0</v>
      </c>
      <c r="AF323" s="37">
        <f>IF(AQ323="2",BH323,0)</f>
        <v>0</v>
      </c>
      <c r="AG323" s="37">
        <f>IF(AQ323="2",BI323,0)</f>
        <v>0</v>
      </c>
      <c r="AH323" s="37">
        <f>IF(AQ323="0",BJ323,0)</f>
        <v>0</v>
      </c>
      <c r="AI323" s="35"/>
      <c r="AJ323" s="24">
        <f>IF(AN323=0,L323,0)</f>
        <v>0</v>
      </c>
      <c r="AK323" s="24">
        <f>IF(AN323=15,L323,0)</f>
        <v>0</v>
      </c>
      <c r="AL323" s="24">
        <f>IF(AN323=21,L323,0)</f>
        <v>0</v>
      </c>
      <c r="AN323" s="37">
        <v>21</v>
      </c>
      <c r="AO323" s="37">
        <f>I323*0.886396526772793</f>
        <v>0</v>
      </c>
      <c r="AP323" s="37">
        <f>I323*(1-0.886396526772793)</f>
        <v>0</v>
      </c>
      <c r="AQ323" s="38" t="s">
        <v>13</v>
      </c>
      <c r="AV323" s="37">
        <f>AW323+AX323</f>
        <v>0</v>
      </c>
      <c r="AW323" s="37">
        <f>H323*AO323</f>
        <v>0</v>
      </c>
      <c r="AX323" s="37">
        <f>H323*AP323</f>
        <v>0</v>
      </c>
      <c r="AY323" s="40" t="s">
        <v>1224</v>
      </c>
      <c r="AZ323" s="40" t="s">
        <v>1261</v>
      </c>
      <c r="BA323" s="35" t="s">
        <v>1262</v>
      </c>
      <c r="BC323" s="37">
        <f>AW323+AX323</f>
        <v>0</v>
      </c>
      <c r="BD323" s="37">
        <f>I323/(100-BE323)*100</f>
        <v>0</v>
      </c>
      <c r="BE323" s="37">
        <v>0</v>
      </c>
      <c r="BF323" s="37">
        <f>N323</f>
        <v>323</v>
      </c>
      <c r="BH323" s="24">
        <f>H323*AO323</f>
        <v>0</v>
      </c>
      <c r="BI323" s="24">
        <f>H323*AP323</f>
        <v>0</v>
      </c>
      <c r="BJ323" s="24">
        <f>H323*I323</f>
        <v>0</v>
      </c>
      <c r="BK323" s="24" t="s">
        <v>1267</v>
      </c>
      <c r="BL323" s="37">
        <v>795</v>
      </c>
    </row>
    <row r="324" spans="1:64" x14ac:dyDescent="0.25">
      <c r="A324" s="4" t="s">
        <v>236</v>
      </c>
      <c r="B324" s="14" t="s">
        <v>572</v>
      </c>
      <c r="C324" s="130" t="s">
        <v>988</v>
      </c>
      <c r="D324" s="131"/>
      <c r="E324" s="131"/>
      <c r="F324" s="131"/>
      <c r="G324" s="14" t="s">
        <v>1170</v>
      </c>
      <c r="H324" s="24">
        <v>2</v>
      </c>
      <c r="I324" s="24">
        <v>0</v>
      </c>
      <c r="J324" s="24">
        <f>H324*AO324</f>
        <v>0</v>
      </c>
      <c r="K324" s="24">
        <f>H324*AP324</f>
        <v>0</v>
      </c>
      <c r="L324" s="24">
        <f>H324*I324</f>
        <v>0</v>
      </c>
      <c r="M324" s="24">
        <v>1.6E-2</v>
      </c>
      <c r="N324" s="46">
        <f>H324*324</f>
        <v>648</v>
      </c>
      <c r="O324" s="5"/>
      <c r="Z324" s="37">
        <f>IF(AQ324="5",BJ324,0)</f>
        <v>0</v>
      </c>
      <c r="AB324" s="37">
        <f>IF(AQ324="1",BH324,0)</f>
        <v>0</v>
      </c>
      <c r="AC324" s="37">
        <f>IF(AQ324="1",BI324,0)</f>
        <v>0</v>
      </c>
      <c r="AD324" s="37">
        <f>IF(AQ324="7",BH324,0)</f>
        <v>0</v>
      </c>
      <c r="AE324" s="37">
        <f>IF(AQ324="7",BI324,0)</f>
        <v>0</v>
      </c>
      <c r="AF324" s="37">
        <f>IF(AQ324="2",BH324,0)</f>
        <v>0</v>
      </c>
      <c r="AG324" s="37">
        <f>IF(AQ324="2",BI324,0)</f>
        <v>0</v>
      </c>
      <c r="AH324" s="37">
        <f>IF(AQ324="0",BJ324,0)</f>
        <v>0</v>
      </c>
      <c r="AI324" s="35"/>
      <c r="AJ324" s="24">
        <f>IF(AN324=0,L324,0)</f>
        <v>0</v>
      </c>
      <c r="AK324" s="24">
        <f>IF(AN324=15,L324,0)</f>
        <v>0</v>
      </c>
      <c r="AL324" s="24">
        <f>IF(AN324=21,L324,0)</f>
        <v>0</v>
      </c>
      <c r="AN324" s="37">
        <v>21</v>
      </c>
      <c r="AO324" s="37">
        <f>I324*0.722197607443509</f>
        <v>0</v>
      </c>
      <c r="AP324" s="37">
        <f>I324*(1-0.722197607443509)</f>
        <v>0</v>
      </c>
      <c r="AQ324" s="38" t="s">
        <v>13</v>
      </c>
      <c r="AV324" s="37">
        <f>AW324+AX324</f>
        <v>0</v>
      </c>
      <c r="AW324" s="37">
        <f>H324*AO324</f>
        <v>0</v>
      </c>
      <c r="AX324" s="37">
        <f>H324*AP324</f>
        <v>0</v>
      </c>
      <c r="AY324" s="40" t="s">
        <v>1224</v>
      </c>
      <c r="AZ324" s="40" t="s">
        <v>1261</v>
      </c>
      <c r="BA324" s="35" t="s">
        <v>1262</v>
      </c>
      <c r="BC324" s="37">
        <f>AW324+AX324</f>
        <v>0</v>
      </c>
      <c r="BD324" s="37">
        <f>I324/(100-BE324)*100</f>
        <v>0</v>
      </c>
      <c r="BE324" s="37">
        <v>0</v>
      </c>
      <c r="BF324" s="37">
        <f>N324</f>
        <v>648</v>
      </c>
      <c r="BH324" s="24">
        <f>H324*AO324</f>
        <v>0</v>
      </c>
      <c r="BI324" s="24">
        <f>H324*AP324</f>
        <v>0</v>
      </c>
      <c r="BJ324" s="24">
        <f>H324*I324</f>
        <v>0</v>
      </c>
      <c r="BK324" s="24" t="s">
        <v>1267</v>
      </c>
      <c r="BL324" s="37">
        <v>795</v>
      </c>
    </row>
    <row r="325" spans="1:64" x14ac:dyDescent="0.25">
      <c r="A325" s="6"/>
      <c r="B325" s="15" t="s">
        <v>97</v>
      </c>
      <c r="C325" s="132" t="s">
        <v>989</v>
      </c>
      <c r="D325" s="133"/>
      <c r="E325" s="133"/>
      <c r="F325" s="133"/>
      <c r="G325" s="22" t="s">
        <v>6</v>
      </c>
      <c r="H325" s="22" t="s">
        <v>6</v>
      </c>
      <c r="I325" s="22" t="s">
        <v>6</v>
      </c>
      <c r="J325" s="43">
        <f>SUM(J326:J327)</f>
        <v>0</v>
      </c>
      <c r="K325" s="43">
        <f>SUM(K326:K327)</f>
        <v>0</v>
      </c>
      <c r="L325" s="43">
        <f>SUM(L326:L327)</f>
        <v>0</v>
      </c>
      <c r="M325" s="35"/>
      <c r="N325" s="47">
        <f>SUM(N326:N327)</f>
        <v>16651</v>
      </c>
      <c r="O325" s="5"/>
      <c r="AI325" s="35"/>
      <c r="AS325" s="43">
        <f>SUM(AJ326:AJ327)</f>
        <v>0</v>
      </c>
      <c r="AT325" s="43">
        <f>SUM(AK326:AK327)</f>
        <v>0</v>
      </c>
      <c r="AU325" s="43">
        <f>SUM(AL326:AL327)</f>
        <v>0</v>
      </c>
    </row>
    <row r="326" spans="1:64" x14ac:dyDescent="0.25">
      <c r="A326" s="4" t="s">
        <v>237</v>
      </c>
      <c r="B326" s="14" t="s">
        <v>573</v>
      </c>
      <c r="C326" s="130" t="s">
        <v>990</v>
      </c>
      <c r="D326" s="131"/>
      <c r="E326" s="131"/>
      <c r="F326" s="131"/>
      <c r="G326" s="14" t="s">
        <v>1165</v>
      </c>
      <c r="H326" s="24">
        <v>26</v>
      </c>
      <c r="I326" s="24">
        <v>0</v>
      </c>
      <c r="J326" s="24">
        <f>H326*AO326</f>
        <v>0</v>
      </c>
      <c r="K326" s="24">
        <f>H326*AP326</f>
        <v>0</v>
      </c>
      <c r="L326" s="24">
        <f>H326*I326</f>
        <v>0</v>
      </c>
      <c r="M326" s="24">
        <v>0.13</v>
      </c>
      <c r="N326" s="46">
        <f>H326*326</f>
        <v>8476</v>
      </c>
      <c r="O326" s="5"/>
      <c r="Z326" s="37">
        <f>IF(AQ326="5",BJ326,0)</f>
        <v>0</v>
      </c>
      <c r="AB326" s="37">
        <f>IF(AQ326="1",BH326,0)</f>
        <v>0</v>
      </c>
      <c r="AC326" s="37">
        <f>IF(AQ326="1",BI326,0)</f>
        <v>0</v>
      </c>
      <c r="AD326" s="37">
        <f>IF(AQ326="7",BH326,0)</f>
        <v>0</v>
      </c>
      <c r="AE326" s="37">
        <f>IF(AQ326="7",BI326,0)</f>
        <v>0</v>
      </c>
      <c r="AF326" s="37">
        <f>IF(AQ326="2",BH326,0)</f>
        <v>0</v>
      </c>
      <c r="AG326" s="37">
        <f>IF(AQ326="2",BI326,0)</f>
        <v>0</v>
      </c>
      <c r="AH326" s="37">
        <f>IF(AQ326="0",BJ326,0)</f>
        <v>0</v>
      </c>
      <c r="AI326" s="35"/>
      <c r="AJ326" s="24">
        <f>IF(AN326=0,L326,0)</f>
        <v>0</v>
      </c>
      <c r="AK326" s="24">
        <f>IF(AN326=15,L326,0)</f>
        <v>0</v>
      </c>
      <c r="AL326" s="24">
        <f>IF(AN326=21,L326,0)</f>
        <v>0</v>
      </c>
      <c r="AN326" s="37">
        <v>21</v>
      </c>
      <c r="AO326" s="37">
        <f>I326*0.461364522417154</f>
        <v>0</v>
      </c>
      <c r="AP326" s="37">
        <f>I326*(1-0.461364522417154)</f>
        <v>0</v>
      </c>
      <c r="AQ326" s="38" t="s">
        <v>7</v>
      </c>
      <c r="AV326" s="37">
        <f>AW326+AX326</f>
        <v>0</v>
      </c>
      <c r="AW326" s="37">
        <f>H326*AO326</f>
        <v>0</v>
      </c>
      <c r="AX326" s="37">
        <f>H326*AP326</f>
        <v>0</v>
      </c>
      <c r="AY326" s="40" t="s">
        <v>1225</v>
      </c>
      <c r="AZ326" s="40" t="s">
        <v>1260</v>
      </c>
      <c r="BA326" s="35" t="s">
        <v>1262</v>
      </c>
      <c r="BC326" s="37">
        <f>AW326+AX326</f>
        <v>0</v>
      </c>
      <c r="BD326" s="37">
        <f>I326/(100-BE326)*100</f>
        <v>0</v>
      </c>
      <c r="BE326" s="37">
        <v>0</v>
      </c>
      <c r="BF326" s="37">
        <f>N326</f>
        <v>8476</v>
      </c>
      <c r="BH326" s="24">
        <f>H326*AO326</f>
        <v>0</v>
      </c>
      <c r="BI326" s="24">
        <f>H326*AP326</f>
        <v>0</v>
      </c>
      <c r="BJ326" s="24">
        <f>H326*I326</f>
        <v>0</v>
      </c>
      <c r="BK326" s="24" t="s">
        <v>1267</v>
      </c>
      <c r="BL326" s="37">
        <v>91</v>
      </c>
    </row>
    <row r="327" spans="1:64" x14ac:dyDescent="0.25">
      <c r="A327" s="7" t="s">
        <v>238</v>
      </c>
      <c r="B327" s="16" t="s">
        <v>574</v>
      </c>
      <c r="C327" s="134" t="s">
        <v>991</v>
      </c>
      <c r="D327" s="135"/>
      <c r="E327" s="135"/>
      <c r="F327" s="135"/>
      <c r="G327" s="16" t="s">
        <v>1170</v>
      </c>
      <c r="H327" s="26">
        <v>25</v>
      </c>
      <c r="I327" s="26">
        <v>0</v>
      </c>
      <c r="J327" s="26">
        <f>H327*AO327</f>
        <v>0</v>
      </c>
      <c r="K327" s="26">
        <f>H327*AP327</f>
        <v>0</v>
      </c>
      <c r="L327" s="26">
        <f>H327*I327</f>
        <v>0</v>
      </c>
      <c r="M327" s="26">
        <v>4.4769999999999997E-2</v>
      </c>
      <c r="N327" s="48">
        <f>H327*327</f>
        <v>8175</v>
      </c>
      <c r="O327" s="5"/>
      <c r="Z327" s="37">
        <f>IF(AQ327="5",BJ327,0)</f>
        <v>0</v>
      </c>
      <c r="AB327" s="37">
        <f>IF(AQ327="1",BH327,0)</f>
        <v>0</v>
      </c>
      <c r="AC327" s="37">
        <f>IF(AQ327="1",BI327,0)</f>
        <v>0</v>
      </c>
      <c r="AD327" s="37">
        <f>IF(AQ327="7",BH327,0)</f>
        <v>0</v>
      </c>
      <c r="AE327" s="37">
        <f>IF(AQ327="7",BI327,0)</f>
        <v>0</v>
      </c>
      <c r="AF327" s="37">
        <f>IF(AQ327="2",BH327,0)</f>
        <v>0</v>
      </c>
      <c r="AG327" s="37">
        <f>IF(AQ327="2",BI327,0)</f>
        <v>0</v>
      </c>
      <c r="AH327" s="37">
        <f>IF(AQ327="0",BJ327,0)</f>
        <v>0</v>
      </c>
      <c r="AI327" s="35"/>
      <c r="AJ327" s="26">
        <f>IF(AN327=0,L327,0)</f>
        <v>0</v>
      </c>
      <c r="AK327" s="26">
        <f>IF(AN327=15,L327,0)</f>
        <v>0</v>
      </c>
      <c r="AL327" s="26">
        <f>IF(AN327=21,L327,0)</f>
        <v>0</v>
      </c>
      <c r="AN327" s="37">
        <v>21</v>
      </c>
      <c r="AO327" s="37">
        <f>I327*1</f>
        <v>0</v>
      </c>
      <c r="AP327" s="37">
        <f>I327*(1-1)</f>
        <v>0</v>
      </c>
      <c r="AQ327" s="39" t="s">
        <v>7</v>
      </c>
      <c r="AV327" s="37">
        <f>AW327+AX327</f>
        <v>0</v>
      </c>
      <c r="AW327" s="37">
        <f>H327*AO327</f>
        <v>0</v>
      </c>
      <c r="AX327" s="37">
        <f>H327*AP327</f>
        <v>0</v>
      </c>
      <c r="AY327" s="40" t="s">
        <v>1225</v>
      </c>
      <c r="AZ327" s="40" t="s">
        <v>1260</v>
      </c>
      <c r="BA327" s="35" t="s">
        <v>1262</v>
      </c>
      <c r="BC327" s="37">
        <f>AW327+AX327</f>
        <v>0</v>
      </c>
      <c r="BD327" s="37">
        <f>I327/(100-BE327)*100</f>
        <v>0</v>
      </c>
      <c r="BE327" s="37">
        <v>0</v>
      </c>
      <c r="BF327" s="37">
        <f>N327</f>
        <v>8175</v>
      </c>
      <c r="BH327" s="26">
        <f>H327*AO327</f>
        <v>0</v>
      </c>
      <c r="BI327" s="26">
        <f>H327*AP327</f>
        <v>0</v>
      </c>
      <c r="BJ327" s="26">
        <f>H327*I327</f>
        <v>0</v>
      </c>
      <c r="BK327" s="26" t="s">
        <v>1268</v>
      </c>
      <c r="BL327" s="37">
        <v>91</v>
      </c>
    </row>
    <row r="328" spans="1:64" x14ac:dyDescent="0.25">
      <c r="A328" s="6"/>
      <c r="B328" s="15" t="s">
        <v>99</v>
      </c>
      <c r="C328" s="132" t="s">
        <v>992</v>
      </c>
      <c r="D328" s="133"/>
      <c r="E328" s="133"/>
      <c r="F328" s="133"/>
      <c r="G328" s="22" t="s">
        <v>6</v>
      </c>
      <c r="H328" s="22" t="s">
        <v>6</v>
      </c>
      <c r="I328" s="22" t="s">
        <v>6</v>
      </c>
      <c r="J328" s="43">
        <f>SUM(J329:J331)</f>
        <v>0</v>
      </c>
      <c r="K328" s="43">
        <f>SUM(K329:K331)</f>
        <v>0</v>
      </c>
      <c r="L328" s="43">
        <f>SUM(L329:L331)</f>
        <v>0</v>
      </c>
      <c r="M328" s="35"/>
      <c r="N328" s="47">
        <f>SUM(N329:N331)</f>
        <v>1980</v>
      </c>
      <c r="O328" s="5"/>
      <c r="AI328" s="35"/>
      <c r="AS328" s="43">
        <f>SUM(AJ329:AJ331)</f>
        <v>0</v>
      </c>
      <c r="AT328" s="43">
        <f>SUM(AK329:AK331)</f>
        <v>0</v>
      </c>
      <c r="AU328" s="43">
        <f>SUM(AL329:AL331)</f>
        <v>0</v>
      </c>
    </row>
    <row r="329" spans="1:64" x14ac:dyDescent="0.25">
      <c r="A329" s="4" t="s">
        <v>239</v>
      </c>
      <c r="B329" s="14" t="s">
        <v>575</v>
      </c>
      <c r="C329" s="130" t="s">
        <v>993</v>
      </c>
      <c r="D329" s="131"/>
      <c r="E329" s="131"/>
      <c r="F329" s="131"/>
      <c r="G329" s="14" t="s">
        <v>1170</v>
      </c>
      <c r="H329" s="24">
        <v>2</v>
      </c>
      <c r="I329" s="24">
        <v>0</v>
      </c>
      <c r="J329" s="24">
        <f>H329*AO329</f>
        <v>0</v>
      </c>
      <c r="K329" s="24">
        <f>H329*AP329</f>
        <v>0</v>
      </c>
      <c r="L329" s="24">
        <f>H329*I329</f>
        <v>0</v>
      </c>
      <c r="M329" s="24">
        <v>1.339</v>
      </c>
      <c r="N329" s="46">
        <f>H329*329</f>
        <v>658</v>
      </c>
      <c r="O329" s="5"/>
      <c r="Z329" s="37">
        <f>IF(AQ329="5",BJ329,0)</f>
        <v>0</v>
      </c>
      <c r="AB329" s="37">
        <f>IF(AQ329="1",BH329,0)</f>
        <v>0</v>
      </c>
      <c r="AC329" s="37">
        <f>IF(AQ329="1",BI329,0)</f>
        <v>0</v>
      </c>
      <c r="AD329" s="37">
        <f>IF(AQ329="7",BH329,0)</f>
        <v>0</v>
      </c>
      <c r="AE329" s="37">
        <f>IF(AQ329="7",BI329,0)</f>
        <v>0</v>
      </c>
      <c r="AF329" s="37">
        <f>IF(AQ329="2",BH329,0)</f>
        <v>0</v>
      </c>
      <c r="AG329" s="37">
        <f>IF(AQ329="2",BI329,0)</f>
        <v>0</v>
      </c>
      <c r="AH329" s="37">
        <f>IF(AQ329="0",BJ329,0)</f>
        <v>0</v>
      </c>
      <c r="AI329" s="35"/>
      <c r="AJ329" s="24">
        <f>IF(AN329=0,L329,0)</f>
        <v>0</v>
      </c>
      <c r="AK329" s="24">
        <f>IF(AN329=15,L329,0)</f>
        <v>0</v>
      </c>
      <c r="AL329" s="24">
        <f>IF(AN329=21,L329,0)</f>
        <v>0</v>
      </c>
      <c r="AN329" s="37">
        <v>21</v>
      </c>
      <c r="AO329" s="37">
        <f>I329*0.0118726389638424</f>
        <v>0</v>
      </c>
      <c r="AP329" s="37">
        <f>I329*(1-0.0118726389638424)</f>
        <v>0</v>
      </c>
      <c r="AQ329" s="38" t="s">
        <v>7</v>
      </c>
      <c r="AV329" s="37">
        <f>AW329+AX329</f>
        <v>0</v>
      </c>
      <c r="AW329" s="37">
        <f>H329*AO329</f>
        <v>0</v>
      </c>
      <c r="AX329" s="37">
        <f>H329*AP329</f>
        <v>0</v>
      </c>
      <c r="AY329" s="40" t="s">
        <v>1226</v>
      </c>
      <c r="AZ329" s="40" t="s">
        <v>1260</v>
      </c>
      <c r="BA329" s="35" t="s">
        <v>1262</v>
      </c>
      <c r="BC329" s="37">
        <f>AW329+AX329</f>
        <v>0</v>
      </c>
      <c r="BD329" s="37">
        <f>I329/(100-BE329)*100</f>
        <v>0</v>
      </c>
      <c r="BE329" s="37">
        <v>0</v>
      </c>
      <c r="BF329" s="37">
        <f>N329</f>
        <v>658</v>
      </c>
      <c r="BH329" s="24">
        <f>H329*AO329</f>
        <v>0</v>
      </c>
      <c r="BI329" s="24">
        <f>H329*AP329</f>
        <v>0</v>
      </c>
      <c r="BJ329" s="24">
        <f>H329*I329</f>
        <v>0</v>
      </c>
      <c r="BK329" s="24" t="s">
        <v>1267</v>
      </c>
      <c r="BL329" s="37">
        <v>93</v>
      </c>
    </row>
    <row r="330" spans="1:64" x14ac:dyDescent="0.25">
      <c r="A330" s="4" t="s">
        <v>240</v>
      </c>
      <c r="B330" s="14" t="s">
        <v>576</v>
      </c>
      <c r="C330" s="130" t="s">
        <v>994</v>
      </c>
      <c r="D330" s="131"/>
      <c r="E330" s="131"/>
      <c r="F330" s="131"/>
      <c r="G330" s="14" t="s">
        <v>1170</v>
      </c>
      <c r="H330" s="24">
        <v>2</v>
      </c>
      <c r="I330" s="24">
        <v>0</v>
      </c>
      <c r="J330" s="24">
        <f>H330*AO330</f>
        <v>0</v>
      </c>
      <c r="K330" s="24">
        <f>H330*AP330</f>
        <v>0</v>
      </c>
      <c r="L330" s="24">
        <f>H330*I330</f>
        <v>0</v>
      </c>
      <c r="M330" s="24">
        <v>3.0049999999999999</v>
      </c>
      <c r="N330" s="46">
        <f>H330*330</f>
        <v>660</v>
      </c>
      <c r="O330" s="5"/>
      <c r="Z330" s="37">
        <f>IF(AQ330="5",BJ330,0)</f>
        <v>0</v>
      </c>
      <c r="AB330" s="37">
        <f>IF(AQ330="1",BH330,0)</f>
        <v>0</v>
      </c>
      <c r="AC330" s="37">
        <f>IF(AQ330="1",BI330,0)</f>
        <v>0</v>
      </c>
      <c r="AD330" s="37">
        <f>IF(AQ330="7",BH330,0)</f>
        <v>0</v>
      </c>
      <c r="AE330" s="37">
        <f>IF(AQ330="7",BI330,0)</f>
        <v>0</v>
      </c>
      <c r="AF330" s="37">
        <f>IF(AQ330="2",BH330,0)</f>
        <v>0</v>
      </c>
      <c r="AG330" s="37">
        <f>IF(AQ330="2",BI330,0)</f>
        <v>0</v>
      </c>
      <c r="AH330" s="37">
        <f>IF(AQ330="0",BJ330,0)</f>
        <v>0</v>
      </c>
      <c r="AI330" s="35"/>
      <c r="AJ330" s="24">
        <f>IF(AN330=0,L330,0)</f>
        <v>0</v>
      </c>
      <c r="AK330" s="24">
        <f>IF(AN330=15,L330,0)</f>
        <v>0</v>
      </c>
      <c r="AL330" s="24">
        <f>IF(AN330=21,L330,0)</f>
        <v>0</v>
      </c>
      <c r="AN330" s="37">
        <v>21</v>
      </c>
      <c r="AO330" s="37">
        <f>I330*0.0758064516129032</f>
        <v>0</v>
      </c>
      <c r="AP330" s="37">
        <f>I330*(1-0.0758064516129032)</f>
        <v>0</v>
      </c>
      <c r="AQ330" s="38" t="s">
        <v>7</v>
      </c>
      <c r="AV330" s="37">
        <f>AW330+AX330</f>
        <v>0</v>
      </c>
      <c r="AW330" s="37">
        <f>H330*AO330</f>
        <v>0</v>
      </c>
      <c r="AX330" s="37">
        <f>H330*AP330</f>
        <v>0</v>
      </c>
      <c r="AY330" s="40" t="s">
        <v>1226</v>
      </c>
      <c r="AZ330" s="40" t="s">
        <v>1260</v>
      </c>
      <c r="BA330" s="35" t="s">
        <v>1262</v>
      </c>
      <c r="BC330" s="37">
        <f>AW330+AX330</f>
        <v>0</v>
      </c>
      <c r="BD330" s="37">
        <f>I330/(100-BE330)*100</f>
        <v>0</v>
      </c>
      <c r="BE330" s="37">
        <v>0</v>
      </c>
      <c r="BF330" s="37">
        <f>N330</f>
        <v>660</v>
      </c>
      <c r="BH330" s="24">
        <f>H330*AO330</f>
        <v>0</v>
      </c>
      <c r="BI330" s="24">
        <f>H330*AP330</f>
        <v>0</v>
      </c>
      <c r="BJ330" s="24">
        <f>H330*I330</f>
        <v>0</v>
      </c>
      <c r="BK330" s="24" t="s">
        <v>1267</v>
      </c>
      <c r="BL330" s="37">
        <v>93</v>
      </c>
    </row>
    <row r="331" spans="1:64" x14ac:dyDescent="0.25">
      <c r="A331" s="4" t="s">
        <v>241</v>
      </c>
      <c r="B331" s="14" t="s">
        <v>577</v>
      </c>
      <c r="C331" s="130" t="s">
        <v>995</v>
      </c>
      <c r="D331" s="131"/>
      <c r="E331" s="131"/>
      <c r="F331" s="131"/>
      <c r="G331" s="14" t="s">
        <v>1170</v>
      </c>
      <c r="H331" s="24">
        <v>2</v>
      </c>
      <c r="I331" s="24">
        <v>0</v>
      </c>
      <c r="J331" s="24">
        <f>H331*AO331</f>
        <v>0</v>
      </c>
      <c r="K331" s="24">
        <f>H331*AP331</f>
        <v>0</v>
      </c>
      <c r="L331" s="24">
        <f>H331*I331</f>
        <v>0</v>
      </c>
      <c r="M331" s="24">
        <v>2E-3</v>
      </c>
      <c r="N331" s="46">
        <f>H331*331</f>
        <v>662</v>
      </c>
      <c r="O331" s="5"/>
      <c r="Z331" s="37">
        <f>IF(AQ331="5",BJ331,0)</f>
        <v>0</v>
      </c>
      <c r="AB331" s="37">
        <f>IF(AQ331="1",BH331,0)</f>
        <v>0</v>
      </c>
      <c r="AC331" s="37">
        <f>IF(AQ331="1",BI331,0)</f>
        <v>0</v>
      </c>
      <c r="AD331" s="37">
        <f>IF(AQ331="7",BH331,0)</f>
        <v>0</v>
      </c>
      <c r="AE331" s="37">
        <f>IF(AQ331="7",BI331,0)</f>
        <v>0</v>
      </c>
      <c r="AF331" s="37">
        <f>IF(AQ331="2",BH331,0)</f>
        <v>0</v>
      </c>
      <c r="AG331" s="37">
        <f>IF(AQ331="2",BI331,0)</f>
        <v>0</v>
      </c>
      <c r="AH331" s="37">
        <f>IF(AQ331="0",BJ331,0)</f>
        <v>0</v>
      </c>
      <c r="AI331" s="35"/>
      <c r="AJ331" s="24">
        <f>IF(AN331=0,L331,0)</f>
        <v>0</v>
      </c>
      <c r="AK331" s="24">
        <f>IF(AN331=15,L331,0)</f>
        <v>0</v>
      </c>
      <c r="AL331" s="24">
        <f>IF(AN331=21,L331,0)</f>
        <v>0</v>
      </c>
      <c r="AN331" s="37">
        <v>21</v>
      </c>
      <c r="AO331" s="37">
        <f>I331*0.0627062706270627</f>
        <v>0</v>
      </c>
      <c r="AP331" s="37">
        <f>I331*(1-0.0627062706270627)</f>
        <v>0</v>
      </c>
      <c r="AQ331" s="38" t="s">
        <v>7</v>
      </c>
      <c r="AV331" s="37">
        <f>AW331+AX331</f>
        <v>0</v>
      </c>
      <c r="AW331" s="37">
        <f>H331*AO331</f>
        <v>0</v>
      </c>
      <c r="AX331" s="37">
        <f>H331*AP331</f>
        <v>0</v>
      </c>
      <c r="AY331" s="40" t="s">
        <v>1226</v>
      </c>
      <c r="AZ331" s="40" t="s">
        <v>1260</v>
      </c>
      <c r="BA331" s="35" t="s">
        <v>1262</v>
      </c>
      <c r="BC331" s="37">
        <f>AW331+AX331</f>
        <v>0</v>
      </c>
      <c r="BD331" s="37">
        <f>I331/(100-BE331)*100</f>
        <v>0</v>
      </c>
      <c r="BE331" s="37">
        <v>0</v>
      </c>
      <c r="BF331" s="37">
        <f>N331</f>
        <v>662</v>
      </c>
      <c r="BH331" s="24">
        <f>H331*AO331</f>
        <v>0</v>
      </c>
      <c r="BI331" s="24">
        <f>H331*AP331</f>
        <v>0</v>
      </c>
      <c r="BJ331" s="24">
        <f>H331*I331</f>
        <v>0</v>
      </c>
      <c r="BK331" s="24" t="s">
        <v>1267</v>
      </c>
      <c r="BL331" s="37">
        <v>93</v>
      </c>
    </row>
    <row r="332" spans="1:64" x14ac:dyDescent="0.25">
      <c r="A332" s="6"/>
      <c r="B332" s="15" t="s">
        <v>103</v>
      </c>
      <c r="C332" s="132" t="s">
        <v>996</v>
      </c>
      <c r="D332" s="133"/>
      <c r="E332" s="133"/>
      <c r="F332" s="133"/>
      <c r="G332" s="22" t="s">
        <v>6</v>
      </c>
      <c r="H332" s="22" t="s">
        <v>6</v>
      </c>
      <c r="I332" s="22" t="s">
        <v>6</v>
      </c>
      <c r="J332" s="43">
        <f>SUM(J333:J337)</f>
        <v>0</v>
      </c>
      <c r="K332" s="43">
        <f>SUM(K333:K337)</f>
        <v>0</v>
      </c>
      <c r="L332" s="43">
        <f>SUM(L333:L337)</f>
        <v>0</v>
      </c>
      <c r="M332" s="35"/>
      <c r="N332" s="47">
        <f>SUM(N333:N337)</f>
        <v>4014</v>
      </c>
      <c r="O332" s="5"/>
      <c r="AI332" s="35"/>
      <c r="AS332" s="43">
        <f>SUM(AJ333:AJ337)</f>
        <v>0</v>
      </c>
      <c r="AT332" s="43">
        <f>SUM(AK333:AK337)</f>
        <v>0</v>
      </c>
      <c r="AU332" s="43">
        <f>SUM(AL333:AL337)</f>
        <v>0</v>
      </c>
    </row>
    <row r="333" spans="1:64" x14ac:dyDescent="0.25">
      <c r="A333" s="4" t="s">
        <v>242</v>
      </c>
      <c r="B333" s="14" t="s">
        <v>578</v>
      </c>
      <c r="C333" s="130" t="s">
        <v>997</v>
      </c>
      <c r="D333" s="131"/>
      <c r="E333" s="131"/>
      <c r="F333" s="131"/>
      <c r="G333" s="14" t="s">
        <v>1170</v>
      </c>
      <c r="H333" s="24">
        <v>3</v>
      </c>
      <c r="I333" s="24">
        <v>0</v>
      </c>
      <c r="J333" s="24">
        <f>H333*AO333</f>
        <v>0</v>
      </c>
      <c r="K333" s="24">
        <f>H333*AP333</f>
        <v>0</v>
      </c>
      <c r="L333" s="24">
        <f>H333*I333</f>
        <v>0</v>
      </c>
      <c r="M333" s="24">
        <v>0</v>
      </c>
      <c r="N333" s="46">
        <f>H333*333</f>
        <v>999</v>
      </c>
      <c r="O333" s="5"/>
      <c r="Z333" s="37">
        <f>IF(AQ333="5",BJ333,0)</f>
        <v>0</v>
      </c>
      <c r="AB333" s="37">
        <f>IF(AQ333="1",BH333,0)</f>
        <v>0</v>
      </c>
      <c r="AC333" s="37">
        <f>IF(AQ333="1",BI333,0)</f>
        <v>0</v>
      </c>
      <c r="AD333" s="37">
        <f>IF(AQ333="7",BH333,0)</f>
        <v>0</v>
      </c>
      <c r="AE333" s="37">
        <f>IF(AQ333="7",BI333,0)</f>
        <v>0</v>
      </c>
      <c r="AF333" s="37">
        <f>IF(AQ333="2",BH333,0)</f>
        <v>0</v>
      </c>
      <c r="AG333" s="37">
        <f>IF(AQ333="2",BI333,0)</f>
        <v>0</v>
      </c>
      <c r="AH333" s="37">
        <f>IF(AQ333="0",BJ333,0)</f>
        <v>0</v>
      </c>
      <c r="AI333" s="35"/>
      <c r="AJ333" s="24">
        <f>IF(AN333=0,L333,0)</f>
        <v>0</v>
      </c>
      <c r="AK333" s="24">
        <f>IF(AN333=15,L333,0)</f>
        <v>0</v>
      </c>
      <c r="AL333" s="24">
        <f>IF(AN333=21,L333,0)</f>
        <v>0</v>
      </c>
      <c r="AN333" s="37">
        <v>21</v>
      </c>
      <c r="AO333" s="37">
        <f>I333*0</f>
        <v>0</v>
      </c>
      <c r="AP333" s="37">
        <f>I333*(1-0)</f>
        <v>0</v>
      </c>
      <c r="AQ333" s="38" t="s">
        <v>7</v>
      </c>
      <c r="AV333" s="37">
        <f>AW333+AX333</f>
        <v>0</v>
      </c>
      <c r="AW333" s="37">
        <f>H333*AO333</f>
        <v>0</v>
      </c>
      <c r="AX333" s="37">
        <f>H333*AP333</f>
        <v>0</v>
      </c>
      <c r="AY333" s="40" t="s">
        <v>1227</v>
      </c>
      <c r="AZ333" s="40" t="s">
        <v>1260</v>
      </c>
      <c r="BA333" s="35" t="s">
        <v>1262</v>
      </c>
      <c r="BC333" s="37">
        <f>AW333+AX333</f>
        <v>0</v>
      </c>
      <c r="BD333" s="37">
        <f>I333/(100-BE333)*100</f>
        <v>0</v>
      </c>
      <c r="BE333" s="37">
        <v>0</v>
      </c>
      <c r="BF333" s="37">
        <f>N333</f>
        <v>999</v>
      </c>
      <c r="BH333" s="24">
        <f>H333*AO333</f>
        <v>0</v>
      </c>
      <c r="BI333" s="24">
        <f>H333*AP333</f>
        <v>0</v>
      </c>
      <c r="BJ333" s="24">
        <f>H333*I333</f>
        <v>0</v>
      </c>
      <c r="BK333" s="24" t="s">
        <v>1267</v>
      </c>
      <c r="BL333" s="37">
        <v>97</v>
      </c>
    </row>
    <row r="334" spans="1:64" x14ac:dyDescent="0.25">
      <c r="A334" s="4" t="s">
        <v>243</v>
      </c>
      <c r="B334" s="14" t="s">
        <v>579</v>
      </c>
      <c r="C334" s="130" t="s">
        <v>998</v>
      </c>
      <c r="D334" s="131"/>
      <c r="E334" s="131"/>
      <c r="F334" s="131"/>
      <c r="G334" s="14" t="s">
        <v>1170</v>
      </c>
      <c r="H334" s="24">
        <v>4</v>
      </c>
      <c r="I334" s="24">
        <v>0</v>
      </c>
      <c r="J334" s="24">
        <f>H334*AO334</f>
        <v>0</v>
      </c>
      <c r="K334" s="24">
        <f>H334*AP334</f>
        <v>0</v>
      </c>
      <c r="L334" s="24">
        <f>H334*I334</f>
        <v>0</v>
      </c>
      <c r="M334" s="24">
        <v>6.7000000000000002E-4</v>
      </c>
      <c r="N334" s="46">
        <f>H334*334</f>
        <v>1336</v>
      </c>
      <c r="O334" s="5"/>
      <c r="Z334" s="37">
        <f>IF(AQ334="5",BJ334,0)</f>
        <v>0</v>
      </c>
      <c r="AB334" s="37">
        <f>IF(AQ334="1",BH334,0)</f>
        <v>0</v>
      </c>
      <c r="AC334" s="37">
        <f>IF(AQ334="1",BI334,0)</f>
        <v>0</v>
      </c>
      <c r="AD334" s="37">
        <f>IF(AQ334="7",BH334,0)</f>
        <v>0</v>
      </c>
      <c r="AE334" s="37">
        <f>IF(AQ334="7",BI334,0)</f>
        <v>0</v>
      </c>
      <c r="AF334" s="37">
        <f>IF(AQ334="2",BH334,0)</f>
        <v>0</v>
      </c>
      <c r="AG334" s="37">
        <f>IF(AQ334="2",BI334,0)</f>
        <v>0</v>
      </c>
      <c r="AH334" s="37">
        <f>IF(AQ334="0",BJ334,0)</f>
        <v>0</v>
      </c>
      <c r="AI334" s="35"/>
      <c r="AJ334" s="24">
        <f>IF(AN334=0,L334,0)</f>
        <v>0</v>
      </c>
      <c r="AK334" s="24">
        <f>IF(AN334=15,L334,0)</f>
        <v>0</v>
      </c>
      <c r="AL334" s="24">
        <f>IF(AN334=21,L334,0)</f>
        <v>0</v>
      </c>
      <c r="AN334" s="37">
        <v>21</v>
      </c>
      <c r="AO334" s="37">
        <f>I334*0.0449301143583227</f>
        <v>0</v>
      </c>
      <c r="AP334" s="37">
        <f>I334*(1-0.0449301143583227)</f>
        <v>0</v>
      </c>
      <c r="AQ334" s="38" t="s">
        <v>7</v>
      </c>
      <c r="AV334" s="37">
        <f>AW334+AX334</f>
        <v>0</v>
      </c>
      <c r="AW334" s="37">
        <f>H334*AO334</f>
        <v>0</v>
      </c>
      <c r="AX334" s="37">
        <f>H334*AP334</f>
        <v>0</v>
      </c>
      <c r="AY334" s="40" t="s">
        <v>1227</v>
      </c>
      <c r="AZ334" s="40" t="s">
        <v>1260</v>
      </c>
      <c r="BA334" s="35" t="s">
        <v>1262</v>
      </c>
      <c r="BC334" s="37">
        <f>AW334+AX334</f>
        <v>0</v>
      </c>
      <c r="BD334" s="37">
        <f>I334/(100-BE334)*100</f>
        <v>0</v>
      </c>
      <c r="BE334" s="37">
        <v>0</v>
      </c>
      <c r="BF334" s="37">
        <f>N334</f>
        <v>1336</v>
      </c>
      <c r="BH334" s="24">
        <f>H334*AO334</f>
        <v>0</v>
      </c>
      <c r="BI334" s="24">
        <f>H334*AP334</f>
        <v>0</v>
      </c>
      <c r="BJ334" s="24">
        <f>H334*I334</f>
        <v>0</v>
      </c>
      <c r="BK334" s="24" t="s">
        <v>1267</v>
      </c>
      <c r="BL334" s="37">
        <v>97</v>
      </c>
    </row>
    <row r="335" spans="1:64" x14ac:dyDescent="0.25">
      <c r="A335" s="4" t="s">
        <v>244</v>
      </c>
      <c r="B335" s="14" t="s">
        <v>580</v>
      </c>
      <c r="C335" s="130" t="s">
        <v>999</v>
      </c>
      <c r="D335" s="131"/>
      <c r="E335" s="131"/>
      <c r="F335" s="131"/>
      <c r="G335" s="14" t="s">
        <v>1170</v>
      </c>
      <c r="H335" s="24">
        <v>2</v>
      </c>
      <c r="I335" s="24">
        <v>0</v>
      </c>
      <c r="J335" s="24">
        <f>H335*AO335</f>
        <v>0</v>
      </c>
      <c r="K335" s="24">
        <f>H335*AP335</f>
        <v>0</v>
      </c>
      <c r="L335" s="24">
        <f>H335*I335</f>
        <v>0</v>
      </c>
      <c r="M335" s="24">
        <v>6.7000000000000002E-4</v>
      </c>
      <c r="N335" s="46">
        <f>H335*335</f>
        <v>670</v>
      </c>
      <c r="O335" s="5"/>
      <c r="Z335" s="37">
        <f>IF(AQ335="5",BJ335,0)</f>
        <v>0</v>
      </c>
      <c r="AB335" s="37">
        <f>IF(AQ335="1",BH335,0)</f>
        <v>0</v>
      </c>
      <c r="AC335" s="37">
        <f>IF(AQ335="1",BI335,0)</f>
        <v>0</v>
      </c>
      <c r="AD335" s="37">
        <f>IF(AQ335="7",BH335,0)</f>
        <v>0</v>
      </c>
      <c r="AE335" s="37">
        <f>IF(AQ335="7",BI335,0)</f>
        <v>0</v>
      </c>
      <c r="AF335" s="37">
        <f>IF(AQ335="2",BH335,0)</f>
        <v>0</v>
      </c>
      <c r="AG335" s="37">
        <f>IF(AQ335="2",BI335,0)</f>
        <v>0</v>
      </c>
      <c r="AH335" s="37">
        <f>IF(AQ335="0",BJ335,0)</f>
        <v>0</v>
      </c>
      <c r="AI335" s="35"/>
      <c r="AJ335" s="24">
        <f>IF(AN335=0,L335,0)</f>
        <v>0</v>
      </c>
      <c r="AK335" s="24">
        <f>IF(AN335=15,L335,0)</f>
        <v>0</v>
      </c>
      <c r="AL335" s="24">
        <f>IF(AN335=21,L335,0)</f>
        <v>0</v>
      </c>
      <c r="AN335" s="37">
        <v>21</v>
      </c>
      <c r="AO335" s="37">
        <f>I335*0.0205820721769499</f>
        <v>0</v>
      </c>
      <c r="AP335" s="37">
        <f>I335*(1-0.0205820721769499)</f>
        <v>0</v>
      </c>
      <c r="AQ335" s="38" t="s">
        <v>7</v>
      </c>
      <c r="AV335" s="37">
        <f>AW335+AX335</f>
        <v>0</v>
      </c>
      <c r="AW335" s="37">
        <f>H335*AO335</f>
        <v>0</v>
      </c>
      <c r="AX335" s="37">
        <f>H335*AP335</f>
        <v>0</v>
      </c>
      <c r="AY335" s="40" t="s">
        <v>1227</v>
      </c>
      <c r="AZ335" s="40" t="s">
        <v>1260</v>
      </c>
      <c r="BA335" s="35" t="s">
        <v>1262</v>
      </c>
      <c r="BC335" s="37">
        <f>AW335+AX335</f>
        <v>0</v>
      </c>
      <c r="BD335" s="37">
        <f>I335/(100-BE335)*100</f>
        <v>0</v>
      </c>
      <c r="BE335" s="37">
        <v>0</v>
      </c>
      <c r="BF335" s="37">
        <f>N335</f>
        <v>670</v>
      </c>
      <c r="BH335" s="24">
        <f>H335*AO335</f>
        <v>0</v>
      </c>
      <c r="BI335" s="24">
        <f>H335*AP335</f>
        <v>0</v>
      </c>
      <c r="BJ335" s="24">
        <f>H335*I335</f>
        <v>0</v>
      </c>
      <c r="BK335" s="24" t="s">
        <v>1267</v>
      </c>
      <c r="BL335" s="37">
        <v>97</v>
      </c>
    </row>
    <row r="336" spans="1:64" x14ac:dyDescent="0.25">
      <c r="A336" s="4" t="s">
        <v>245</v>
      </c>
      <c r="B336" s="14" t="s">
        <v>578</v>
      </c>
      <c r="C336" s="130" t="s">
        <v>1000</v>
      </c>
      <c r="D336" s="131"/>
      <c r="E336" s="131"/>
      <c r="F336" s="131"/>
      <c r="G336" s="14" t="s">
        <v>1170</v>
      </c>
      <c r="H336" s="24">
        <v>2</v>
      </c>
      <c r="I336" s="24">
        <v>0</v>
      </c>
      <c r="J336" s="24">
        <f>H336*AO336</f>
        <v>0</v>
      </c>
      <c r="K336" s="24">
        <f>H336*AP336</f>
        <v>0</v>
      </c>
      <c r="L336" s="24">
        <f>H336*I336</f>
        <v>0</v>
      </c>
      <c r="M336" s="24">
        <v>0</v>
      </c>
      <c r="N336" s="46">
        <f>H336*336</f>
        <v>672</v>
      </c>
      <c r="O336" s="5"/>
      <c r="Z336" s="37">
        <f>IF(AQ336="5",BJ336,0)</f>
        <v>0</v>
      </c>
      <c r="AB336" s="37">
        <f>IF(AQ336="1",BH336,0)</f>
        <v>0</v>
      </c>
      <c r="AC336" s="37">
        <f>IF(AQ336="1",BI336,0)</f>
        <v>0</v>
      </c>
      <c r="AD336" s="37">
        <f>IF(AQ336="7",BH336,0)</f>
        <v>0</v>
      </c>
      <c r="AE336" s="37">
        <f>IF(AQ336="7",BI336,0)</f>
        <v>0</v>
      </c>
      <c r="AF336" s="37">
        <f>IF(AQ336="2",BH336,0)</f>
        <v>0</v>
      </c>
      <c r="AG336" s="37">
        <f>IF(AQ336="2",BI336,0)</f>
        <v>0</v>
      </c>
      <c r="AH336" s="37">
        <f>IF(AQ336="0",BJ336,0)</f>
        <v>0</v>
      </c>
      <c r="AI336" s="35"/>
      <c r="AJ336" s="24">
        <f>IF(AN336=0,L336,0)</f>
        <v>0</v>
      </c>
      <c r="AK336" s="24">
        <f>IF(AN336=15,L336,0)</f>
        <v>0</v>
      </c>
      <c r="AL336" s="24">
        <f>IF(AN336=21,L336,0)</f>
        <v>0</v>
      </c>
      <c r="AN336" s="37">
        <v>21</v>
      </c>
      <c r="AO336" s="37">
        <f>I336*0</f>
        <v>0</v>
      </c>
      <c r="AP336" s="37">
        <f>I336*(1-0)</f>
        <v>0</v>
      </c>
      <c r="AQ336" s="38" t="s">
        <v>7</v>
      </c>
      <c r="AV336" s="37">
        <f>AW336+AX336</f>
        <v>0</v>
      </c>
      <c r="AW336" s="37">
        <f>H336*AO336</f>
        <v>0</v>
      </c>
      <c r="AX336" s="37">
        <f>H336*AP336</f>
        <v>0</v>
      </c>
      <c r="AY336" s="40" t="s">
        <v>1227</v>
      </c>
      <c r="AZ336" s="40" t="s">
        <v>1260</v>
      </c>
      <c r="BA336" s="35" t="s">
        <v>1262</v>
      </c>
      <c r="BC336" s="37">
        <f>AW336+AX336</f>
        <v>0</v>
      </c>
      <c r="BD336" s="37">
        <f>I336/(100-BE336)*100</f>
        <v>0</v>
      </c>
      <c r="BE336" s="37">
        <v>0</v>
      </c>
      <c r="BF336" s="37">
        <f>N336</f>
        <v>672</v>
      </c>
      <c r="BH336" s="24">
        <f>H336*AO336</f>
        <v>0</v>
      </c>
      <c r="BI336" s="24">
        <f>H336*AP336</f>
        <v>0</v>
      </c>
      <c r="BJ336" s="24">
        <f>H336*I336</f>
        <v>0</v>
      </c>
      <c r="BK336" s="24" t="s">
        <v>1267</v>
      </c>
      <c r="BL336" s="37">
        <v>97</v>
      </c>
    </row>
    <row r="337" spans="1:64" x14ac:dyDescent="0.25">
      <c r="A337" s="4" t="s">
        <v>246</v>
      </c>
      <c r="B337" s="14" t="s">
        <v>581</v>
      </c>
      <c r="C337" s="130" t="s">
        <v>1001</v>
      </c>
      <c r="D337" s="131"/>
      <c r="E337" s="131"/>
      <c r="F337" s="131"/>
      <c r="G337" s="14" t="s">
        <v>1170</v>
      </c>
      <c r="H337" s="24">
        <v>1</v>
      </c>
      <c r="I337" s="24">
        <v>0</v>
      </c>
      <c r="J337" s="24">
        <f>H337*AO337</f>
        <v>0</v>
      </c>
      <c r="K337" s="24">
        <f>H337*AP337</f>
        <v>0</v>
      </c>
      <c r="L337" s="24">
        <f>H337*I337</f>
        <v>0</v>
      </c>
      <c r="M337" s="24">
        <v>0</v>
      </c>
      <c r="N337" s="46">
        <f>H337*337</f>
        <v>337</v>
      </c>
      <c r="O337" s="5"/>
      <c r="Z337" s="37">
        <f>IF(AQ337="5",BJ337,0)</f>
        <v>0</v>
      </c>
      <c r="AB337" s="37">
        <f>IF(AQ337="1",BH337,0)</f>
        <v>0</v>
      </c>
      <c r="AC337" s="37">
        <f>IF(AQ337="1",BI337,0)</f>
        <v>0</v>
      </c>
      <c r="AD337" s="37">
        <f>IF(AQ337="7",BH337,0)</f>
        <v>0</v>
      </c>
      <c r="AE337" s="37">
        <f>IF(AQ337="7",BI337,0)</f>
        <v>0</v>
      </c>
      <c r="AF337" s="37">
        <f>IF(AQ337="2",BH337,0)</f>
        <v>0</v>
      </c>
      <c r="AG337" s="37">
        <f>IF(AQ337="2",BI337,0)</f>
        <v>0</v>
      </c>
      <c r="AH337" s="37">
        <f>IF(AQ337="0",BJ337,0)</f>
        <v>0</v>
      </c>
      <c r="AI337" s="35"/>
      <c r="AJ337" s="24">
        <f>IF(AN337=0,L337,0)</f>
        <v>0</v>
      </c>
      <c r="AK337" s="24">
        <f>IF(AN337=15,L337,0)</f>
        <v>0</v>
      </c>
      <c r="AL337" s="24">
        <f>IF(AN337=21,L337,0)</f>
        <v>0</v>
      </c>
      <c r="AN337" s="37">
        <v>21</v>
      </c>
      <c r="AO337" s="37">
        <f>I337*0</f>
        <v>0</v>
      </c>
      <c r="AP337" s="37">
        <f>I337*(1-0)</f>
        <v>0</v>
      </c>
      <c r="AQ337" s="38" t="s">
        <v>7</v>
      </c>
      <c r="AV337" s="37">
        <f>AW337+AX337</f>
        <v>0</v>
      </c>
      <c r="AW337" s="37">
        <f>H337*AO337</f>
        <v>0</v>
      </c>
      <c r="AX337" s="37">
        <f>H337*AP337</f>
        <v>0</v>
      </c>
      <c r="AY337" s="40" t="s">
        <v>1227</v>
      </c>
      <c r="AZ337" s="40" t="s">
        <v>1260</v>
      </c>
      <c r="BA337" s="35" t="s">
        <v>1262</v>
      </c>
      <c r="BC337" s="37">
        <f>AW337+AX337</f>
        <v>0</v>
      </c>
      <c r="BD337" s="37">
        <f>I337/(100-BE337)*100</f>
        <v>0</v>
      </c>
      <c r="BE337" s="37">
        <v>0</v>
      </c>
      <c r="BF337" s="37">
        <f>N337</f>
        <v>337</v>
      </c>
      <c r="BH337" s="24">
        <f>H337*AO337</f>
        <v>0</v>
      </c>
      <c r="BI337" s="24">
        <f>H337*AP337</f>
        <v>0</v>
      </c>
      <c r="BJ337" s="24">
        <f>H337*I337</f>
        <v>0</v>
      </c>
      <c r="BK337" s="24" t="s">
        <v>1267</v>
      </c>
      <c r="BL337" s="37">
        <v>97</v>
      </c>
    </row>
    <row r="338" spans="1:64" x14ac:dyDescent="0.25">
      <c r="A338" s="6"/>
      <c r="B338" s="15" t="s">
        <v>582</v>
      </c>
      <c r="C338" s="132" t="s">
        <v>1002</v>
      </c>
      <c r="D338" s="133"/>
      <c r="E338" s="133"/>
      <c r="F338" s="133"/>
      <c r="G338" s="22" t="s">
        <v>6</v>
      </c>
      <c r="H338" s="22" t="s">
        <v>6</v>
      </c>
      <c r="I338" s="22" t="s">
        <v>6</v>
      </c>
      <c r="J338" s="43">
        <f>SUM(J339:J339)</f>
        <v>0</v>
      </c>
      <c r="K338" s="43">
        <f>SUM(K339:K339)</f>
        <v>0</v>
      </c>
      <c r="L338" s="43">
        <f>SUM(L339:L339)</f>
        <v>0</v>
      </c>
      <c r="M338" s="35"/>
      <c r="N338" s="47">
        <f>SUM(N339:N339)</f>
        <v>949.19999999999993</v>
      </c>
      <c r="O338" s="5"/>
      <c r="AI338" s="35"/>
      <c r="AS338" s="43">
        <f>SUM(AJ339:AJ339)</f>
        <v>0</v>
      </c>
      <c r="AT338" s="43">
        <f>SUM(AK339:AK339)</f>
        <v>0</v>
      </c>
      <c r="AU338" s="43">
        <f>SUM(AL339:AL339)</f>
        <v>0</v>
      </c>
    </row>
    <row r="339" spans="1:64" x14ac:dyDescent="0.25">
      <c r="A339" s="4" t="s">
        <v>247</v>
      </c>
      <c r="B339" s="14" t="s">
        <v>583</v>
      </c>
      <c r="C339" s="130" t="s">
        <v>1003</v>
      </c>
      <c r="D339" s="131"/>
      <c r="E339" s="131"/>
      <c r="F339" s="131"/>
      <c r="G339" s="14" t="s">
        <v>1168</v>
      </c>
      <c r="H339" s="24">
        <v>2.8</v>
      </c>
      <c r="I339" s="24">
        <v>0</v>
      </c>
      <c r="J339" s="24">
        <f>H339*AO339</f>
        <v>0</v>
      </c>
      <c r="K339" s="24">
        <f>H339*AP339</f>
        <v>0</v>
      </c>
      <c r="L339" s="24">
        <f>H339*I339</f>
        <v>0</v>
      </c>
      <c r="M339" s="24">
        <v>0</v>
      </c>
      <c r="N339" s="46">
        <f>H339*339</f>
        <v>949.19999999999993</v>
      </c>
      <c r="O339" s="5"/>
      <c r="Z339" s="37">
        <f>IF(AQ339="5",BJ339,0)</f>
        <v>0</v>
      </c>
      <c r="AB339" s="37">
        <f>IF(AQ339="1",BH339,0)</f>
        <v>0</v>
      </c>
      <c r="AC339" s="37">
        <f>IF(AQ339="1",BI339,0)</f>
        <v>0</v>
      </c>
      <c r="AD339" s="37">
        <f>IF(AQ339="7",BH339,0)</f>
        <v>0</v>
      </c>
      <c r="AE339" s="37">
        <f>IF(AQ339="7",BI339,0)</f>
        <v>0</v>
      </c>
      <c r="AF339" s="37">
        <f>IF(AQ339="2",BH339,0)</f>
        <v>0</v>
      </c>
      <c r="AG339" s="37">
        <f>IF(AQ339="2",BI339,0)</f>
        <v>0</v>
      </c>
      <c r="AH339" s="37">
        <f>IF(AQ339="0",BJ339,0)</f>
        <v>0</v>
      </c>
      <c r="AI339" s="35"/>
      <c r="AJ339" s="24">
        <f>IF(AN339=0,L339,0)</f>
        <v>0</v>
      </c>
      <c r="AK339" s="24">
        <f>IF(AN339=15,L339,0)</f>
        <v>0</v>
      </c>
      <c r="AL339" s="24">
        <f>IF(AN339=21,L339,0)</f>
        <v>0</v>
      </c>
      <c r="AN339" s="37">
        <v>21</v>
      </c>
      <c r="AO339" s="37">
        <f>I339*0</f>
        <v>0</v>
      </c>
      <c r="AP339" s="37">
        <f>I339*(1-0)</f>
        <v>0</v>
      </c>
      <c r="AQ339" s="38" t="s">
        <v>11</v>
      </c>
      <c r="AV339" s="37">
        <f>AW339+AX339</f>
        <v>0</v>
      </c>
      <c r="AW339" s="37">
        <f>H339*AO339</f>
        <v>0</v>
      </c>
      <c r="AX339" s="37">
        <f>H339*AP339</f>
        <v>0</v>
      </c>
      <c r="AY339" s="40" t="s">
        <v>1228</v>
      </c>
      <c r="AZ339" s="40" t="s">
        <v>1260</v>
      </c>
      <c r="BA339" s="35" t="s">
        <v>1262</v>
      </c>
      <c r="BC339" s="37">
        <f>AW339+AX339</f>
        <v>0</v>
      </c>
      <c r="BD339" s="37">
        <f>I339/(100-BE339)*100</f>
        <v>0</v>
      </c>
      <c r="BE339" s="37">
        <v>0</v>
      </c>
      <c r="BF339" s="37">
        <f>N339</f>
        <v>949.19999999999993</v>
      </c>
      <c r="BH339" s="24">
        <f>H339*AO339</f>
        <v>0</v>
      </c>
      <c r="BI339" s="24">
        <f>H339*AP339</f>
        <v>0</v>
      </c>
      <c r="BJ339" s="24">
        <f>H339*I339</f>
        <v>0</v>
      </c>
      <c r="BK339" s="24" t="s">
        <v>1267</v>
      </c>
      <c r="BL339" s="37" t="s">
        <v>582</v>
      </c>
    </row>
    <row r="340" spans="1:64" x14ac:dyDescent="0.25">
      <c r="A340" s="6"/>
      <c r="B340" s="15" t="s">
        <v>584</v>
      </c>
      <c r="C340" s="132" t="s">
        <v>1004</v>
      </c>
      <c r="D340" s="133"/>
      <c r="E340" s="133"/>
      <c r="F340" s="133"/>
      <c r="G340" s="22" t="s">
        <v>6</v>
      </c>
      <c r="H340" s="22" t="s">
        <v>6</v>
      </c>
      <c r="I340" s="22" t="s">
        <v>6</v>
      </c>
      <c r="J340" s="43">
        <f>SUM(J341:J341)</f>
        <v>0</v>
      </c>
      <c r="K340" s="43">
        <f>SUM(K341:K341)</f>
        <v>0</v>
      </c>
      <c r="L340" s="43">
        <f>SUM(L341:L341)</f>
        <v>0</v>
      </c>
      <c r="M340" s="35"/>
      <c r="N340" s="47">
        <f>SUM(N341:N341)</f>
        <v>682</v>
      </c>
      <c r="O340" s="5"/>
      <c r="AI340" s="35"/>
      <c r="AS340" s="43">
        <f>SUM(AJ341:AJ341)</f>
        <v>0</v>
      </c>
      <c r="AT340" s="43">
        <f>SUM(AK341:AK341)</f>
        <v>0</v>
      </c>
      <c r="AU340" s="43">
        <f>SUM(AL341:AL341)</f>
        <v>0</v>
      </c>
    </row>
    <row r="341" spans="1:64" x14ac:dyDescent="0.25">
      <c r="A341" s="4" t="s">
        <v>248</v>
      </c>
      <c r="B341" s="14" t="s">
        <v>585</v>
      </c>
      <c r="C341" s="130" t="s">
        <v>1005</v>
      </c>
      <c r="D341" s="131"/>
      <c r="E341" s="131"/>
      <c r="F341" s="131"/>
      <c r="G341" s="14" t="s">
        <v>1168</v>
      </c>
      <c r="H341" s="24">
        <v>2</v>
      </c>
      <c r="I341" s="24">
        <v>0</v>
      </c>
      <c r="J341" s="24">
        <f>H341*AO341</f>
        <v>0</v>
      </c>
      <c r="K341" s="24">
        <f>H341*AP341</f>
        <v>0</v>
      </c>
      <c r="L341" s="24">
        <f>H341*I341</f>
        <v>0</v>
      </c>
      <c r="M341" s="24">
        <v>0</v>
      </c>
      <c r="N341" s="46">
        <f>H341*341</f>
        <v>682</v>
      </c>
      <c r="O341" s="5"/>
      <c r="Z341" s="37">
        <f>IF(AQ341="5",BJ341,0)</f>
        <v>0</v>
      </c>
      <c r="AB341" s="37">
        <f>IF(AQ341="1",BH341,0)</f>
        <v>0</v>
      </c>
      <c r="AC341" s="37">
        <f>IF(AQ341="1",BI341,0)</f>
        <v>0</v>
      </c>
      <c r="AD341" s="37">
        <f>IF(AQ341="7",BH341,0)</f>
        <v>0</v>
      </c>
      <c r="AE341" s="37">
        <f>IF(AQ341="7",BI341,0)</f>
        <v>0</v>
      </c>
      <c r="AF341" s="37">
        <f>IF(AQ341="2",BH341,0)</f>
        <v>0</v>
      </c>
      <c r="AG341" s="37">
        <f>IF(AQ341="2",BI341,0)</f>
        <v>0</v>
      </c>
      <c r="AH341" s="37">
        <f>IF(AQ341="0",BJ341,0)</f>
        <v>0</v>
      </c>
      <c r="AI341" s="35"/>
      <c r="AJ341" s="24">
        <f>IF(AN341=0,L341,0)</f>
        <v>0</v>
      </c>
      <c r="AK341" s="24">
        <f>IF(AN341=15,L341,0)</f>
        <v>0</v>
      </c>
      <c r="AL341" s="24">
        <f>IF(AN341=21,L341,0)</f>
        <v>0</v>
      </c>
      <c r="AN341" s="37">
        <v>21</v>
      </c>
      <c r="AO341" s="37">
        <f>I341*0</f>
        <v>0</v>
      </c>
      <c r="AP341" s="37">
        <f>I341*(1-0)</f>
        <v>0</v>
      </c>
      <c r="AQ341" s="38" t="s">
        <v>11</v>
      </c>
      <c r="AV341" s="37">
        <f>AW341+AX341</f>
        <v>0</v>
      </c>
      <c r="AW341" s="37">
        <f>H341*AO341</f>
        <v>0</v>
      </c>
      <c r="AX341" s="37">
        <f>H341*AP341</f>
        <v>0</v>
      </c>
      <c r="AY341" s="40" t="s">
        <v>1229</v>
      </c>
      <c r="AZ341" s="40" t="s">
        <v>1260</v>
      </c>
      <c r="BA341" s="35" t="s">
        <v>1262</v>
      </c>
      <c r="BC341" s="37">
        <f>AW341+AX341</f>
        <v>0</v>
      </c>
      <c r="BD341" s="37">
        <f>I341/(100-BE341)*100</f>
        <v>0</v>
      </c>
      <c r="BE341" s="37">
        <v>0</v>
      </c>
      <c r="BF341" s="37">
        <f>N341</f>
        <v>682</v>
      </c>
      <c r="BH341" s="24">
        <f>H341*AO341</f>
        <v>0</v>
      </c>
      <c r="BI341" s="24">
        <f>H341*AP341</f>
        <v>0</v>
      </c>
      <c r="BJ341" s="24">
        <f>H341*I341</f>
        <v>0</v>
      </c>
      <c r="BK341" s="24" t="s">
        <v>1267</v>
      </c>
      <c r="BL341" s="37" t="s">
        <v>584</v>
      </c>
    </row>
    <row r="342" spans="1:64" x14ac:dyDescent="0.25">
      <c r="A342" s="6"/>
      <c r="B342" s="15" t="s">
        <v>586</v>
      </c>
      <c r="C342" s="132" t="s">
        <v>1006</v>
      </c>
      <c r="D342" s="133"/>
      <c r="E342" s="133"/>
      <c r="F342" s="133"/>
      <c r="G342" s="22" t="s">
        <v>6</v>
      </c>
      <c r="H342" s="22" t="s">
        <v>6</v>
      </c>
      <c r="I342" s="22" t="s">
        <v>6</v>
      </c>
      <c r="J342" s="43">
        <f>SUM(J343:J343)</f>
        <v>0</v>
      </c>
      <c r="K342" s="43">
        <f>SUM(K343:K343)</f>
        <v>0</v>
      </c>
      <c r="L342" s="43">
        <f>SUM(L343:L343)</f>
        <v>0</v>
      </c>
      <c r="M342" s="35"/>
      <c r="N342" s="47">
        <f>SUM(N343:N343)</f>
        <v>514.5</v>
      </c>
      <c r="O342" s="5"/>
      <c r="AI342" s="35"/>
      <c r="AS342" s="43">
        <f>SUM(AJ343:AJ343)</f>
        <v>0</v>
      </c>
      <c r="AT342" s="43">
        <f>SUM(AK343:AK343)</f>
        <v>0</v>
      </c>
      <c r="AU342" s="43">
        <f>SUM(AL343:AL343)</f>
        <v>0</v>
      </c>
    </row>
    <row r="343" spans="1:64" x14ac:dyDescent="0.25">
      <c r="A343" s="4" t="s">
        <v>249</v>
      </c>
      <c r="B343" s="14" t="s">
        <v>587</v>
      </c>
      <c r="C343" s="130" t="s">
        <v>1007</v>
      </c>
      <c r="D343" s="131"/>
      <c r="E343" s="131"/>
      <c r="F343" s="131"/>
      <c r="G343" s="14" t="s">
        <v>1168</v>
      </c>
      <c r="H343" s="24">
        <v>1.5</v>
      </c>
      <c r="I343" s="24">
        <v>0</v>
      </c>
      <c r="J343" s="24">
        <f>H343*AO343</f>
        <v>0</v>
      </c>
      <c r="K343" s="24">
        <f>H343*AP343</f>
        <v>0</v>
      </c>
      <c r="L343" s="24">
        <f>H343*I343</f>
        <v>0</v>
      </c>
      <c r="M343" s="24">
        <v>0</v>
      </c>
      <c r="N343" s="46">
        <f>H343*343</f>
        <v>514.5</v>
      </c>
      <c r="O343" s="5"/>
      <c r="Z343" s="37">
        <f>IF(AQ343="5",BJ343,0)</f>
        <v>0</v>
      </c>
      <c r="AB343" s="37">
        <f>IF(AQ343="1",BH343,0)</f>
        <v>0</v>
      </c>
      <c r="AC343" s="37">
        <f>IF(AQ343="1",BI343,0)</f>
        <v>0</v>
      </c>
      <c r="AD343" s="37">
        <f>IF(AQ343="7",BH343,0)</f>
        <v>0</v>
      </c>
      <c r="AE343" s="37">
        <f>IF(AQ343="7",BI343,0)</f>
        <v>0</v>
      </c>
      <c r="AF343" s="37">
        <f>IF(AQ343="2",BH343,0)</f>
        <v>0</v>
      </c>
      <c r="AG343" s="37">
        <f>IF(AQ343="2",BI343,0)</f>
        <v>0</v>
      </c>
      <c r="AH343" s="37">
        <f>IF(AQ343="0",BJ343,0)</f>
        <v>0</v>
      </c>
      <c r="AI343" s="35"/>
      <c r="AJ343" s="24">
        <f>IF(AN343=0,L343,0)</f>
        <v>0</v>
      </c>
      <c r="AK343" s="24">
        <f>IF(AN343=15,L343,0)</f>
        <v>0</v>
      </c>
      <c r="AL343" s="24">
        <f>IF(AN343=21,L343,0)</f>
        <v>0</v>
      </c>
      <c r="AN343" s="37">
        <v>21</v>
      </c>
      <c r="AO343" s="37">
        <f>I343*0</f>
        <v>0</v>
      </c>
      <c r="AP343" s="37">
        <f>I343*(1-0)</f>
        <v>0</v>
      </c>
      <c r="AQ343" s="38" t="s">
        <v>11</v>
      </c>
      <c r="AV343" s="37">
        <f>AW343+AX343</f>
        <v>0</v>
      </c>
      <c r="AW343" s="37">
        <f>H343*AO343</f>
        <v>0</v>
      </c>
      <c r="AX343" s="37">
        <f>H343*AP343</f>
        <v>0</v>
      </c>
      <c r="AY343" s="40" t="s">
        <v>1230</v>
      </c>
      <c r="AZ343" s="40" t="s">
        <v>1260</v>
      </c>
      <c r="BA343" s="35" t="s">
        <v>1262</v>
      </c>
      <c r="BC343" s="37">
        <f>AW343+AX343</f>
        <v>0</v>
      </c>
      <c r="BD343" s="37">
        <f>I343/(100-BE343)*100</f>
        <v>0</v>
      </c>
      <c r="BE343" s="37">
        <v>0</v>
      </c>
      <c r="BF343" s="37">
        <f>N343</f>
        <v>514.5</v>
      </c>
      <c r="BH343" s="24">
        <f>H343*AO343</f>
        <v>0</v>
      </c>
      <c r="BI343" s="24">
        <f>H343*AP343</f>
        <v>0</v>
      </c>
      <c r="BJ343" s="24">
        <f>H343*I343</f>
        <v>0</v>
      </c>
      <c r="BK343" s="24" t="s">
        <v>1267</v>
      </c>
      <c r="BL343" s="37" t="s">
        <v>586</v>
      </c>
    </row>
    <row r="344" spans="1:64" x14ac:dyDescent="0.25">
      <c r="A344" s="6"/>
      <c r="B344" s="15" t="s">
        <v>588</v>
      </c>
      <c r="C344" s="132" t="s">
        <v>1008</v>
      </c>
      <c r="D344" s="133"/>
      <c r="E344" s="133"/>
      <c r="F344" s="133"/>
      <c r="G344" s="22" t="s">
        <v>6</v>
      </c>
      <c r="H344" s="22" t="s">
        <v>6</v>
      </c>
      <c r="I344" s="22" t="s">
        <v>6</v>
      </c>
      <c r="J344" s="43">
        <f>SUM(J345:J345)</f>
        <v>0</v>
      </c>
      <c r="K344" s="43">
        <f>SUM(K345:K345)</f>
        <v>0</v>
      </c>
      <c r="L344" s="43">
        <f>SUM(L345:L345)</f>
        <v>0</v>
      </c>
      <c r="M344" s="35"/>
      <c r="N344" s="47">
        <f>SUM(N345:N345)</f>
        <v>6382.5</v>
      </c>
      <c r="O344" s="5"/>
      <c r="AI344" s="35"/>
      <c r="AS344" s="43">
        <f>SUM(AJ345:AJ345)</f>
        <v>0</v>
      </c>
      <c r="AT344" s="43">
        <f>SUM(AK345:AK345)</f>
        <v>0</v>
      </c>
      <c r="AU344" s="43">
        <f>SUM(AL345:AL345)</f>
        <v>0</v>
      </c>
    </row>
    <row r="345" spans="1:64" x14ac:dyDescent="0.25">
      <c r="A345" s="4" t="s">
        <v>250</v>
      </c>
      <c r="B345" s="14" t="s">
        <v>589</v>
      </c>
      <c r="C345" s="130" t="s">
        <v>1009</v>
      </c>
      <c r="D345" s="131"/>
      <c r="E345" s="131"/>
      <c r="F345" s="131"/>
      <c r="G345" s="14" t="s">
        <v>1168</v>
      </c>
      <c r="H345" s="24">
        <v>18.5</v>
      </c>
      <c r="I345" s="24">
        <v>0</v>
      </c>
      <c r="J345" s="24">
        <f>H345*AO345</f>
        <v>0</v>
      </c>
      <c r="K345" s="24">
        <f>H345*AP345</f>
        <v>0</v>
      </c>
      <c r="L345" s="24">
        <f>H345*I345</f>
        <v>0</v>
      </c>
      <c r="M345" s="24">
        <v>0</v>
      </c>
      <c r="N345" s="46">
        <f>H345*345</f>
        <v>6382.5</v>
      </c>
      <c r="O345" s="5"/>
      <c r="Z345" s="37">
        <f>IF(AQ345="5",BJ345,0)</f>
        <v>0</v>
      </c>
      <c r="AB345" s="37">
        <f>IF(AQ345="1",BH345,0)</f>
        <v>0</v>
      </c>
      <c r="AC345" s="37">
        <f>IF(AQ345="1",BI345,0)</f>
        <v>0</v>
      </c>
      <c r="AD345" s="37">
        <f>IF(AQ345="7",BH345,0)</f>
        <v>0</v>
      </c>
      <c r="AE345" s="37">
        <f>IF(AQ345="7",BI345,0)</f>
        <v>0</v>
      </c>
      <c r="AF345" s="37">
        <f>IF(AQ345="2",BH345,0)</f>
        <v>0</v>
      </c>
      <c r="AG345" s="37">
        <f>IF(AQ345="2",BI345,0)</f>
        <v>0</v>
      </c>
      <c r="AH345" s="37">
        <f>IF(AQ345="0",BJ345,0)</f>
        <v>0</v>
      </c>
      <c r="AI345" s="35"/>
      <c r="AJ345" s="24">
        <f>IF(AN345=0,L345,0)</f>
        <v>0</v>
      </c>
      <c r="AK345" s="24">
        <f>IF(AN345=15,L345,0)</f>
        <v>0</v>
      </c>
      <c r="AL345" s="24">
        <f>IF(AN345=21,L345,0)</f>
        <v>0</v>
      </c>
      <c r="AN345" s="37">
        <v>21</v>
      </c>
      <c r="AO345" s="37">
        <f>I345*0</f>
        <v>0</v>
      </c>
      <c r="AP345" s="37">
        <f>I345*(1-0)</f>
        <v>0</v>
      </c>
      <c r="AQ345" s="38" t="s">
        <v>11</v>
      </c>
      <c r="AV345" s="37">
        <f>AW345+AX345</f>
        <v>0</v>
      </c>
      <c r="AW345" s="37">
        <f>H345*AO345</f>
        <v>0</v>
      </c>
      <c r="AX345" s="37">
        <f>H345*AP345</f>
        <v>0</v>
      </c>
      <c r="AY345" s="40" t="s">
        <v>1231</v>
      </c>
      <c r="AZ345" s="40" t="s">
        <v>1260</v>
      </c>
      <c r="BA345" s="35" t="s">
        <v>1262</v>
      </c>
      <c r="BC345" s="37">
        <f>AW345+AX345</f>
        <v>0</v>
      </c>
      <c r="BD345" s="37">
        <f>I345/(100-BE345)*100</f>
        <v>0</v>
      </c>
      <c r="BE345" s="37">
        <v>0</v>
      </c>
      <c r="BF345" s="37">
        <f>N345</f>
        <v>6382.5</v>
      </c>
      <c r="BH345" s="24">
        <f>H345*AO345</f>
        <v>0</v>
      </c>
      <c r="BI345" s="24">
        <f>H345*AP345</f>
        <v>0</v>
      </c>
      <c r="BJ345" s="24">
        <f>H345*I345</f>
        <v>0</v>
      </c>
      <c r="BK345" s="24" t="s">
        <v>1267</v>
      </c>
      <c r="BL345" s="37" t="s">
        <v>588</v>
      </c>
    </row>
    <row r="346" spans="1:64" x14ac:dyDescent="0.25">
      <c r="A346" s="6"/>
      <c r="B346" s="15" t="s">
        <v>590</v>
      </c>
      <c r="C346" s="132" t="s">
        <v>1010</v>
      </c>
      <c r="D346" s="133"/>
      <c r="E346" s="133"/>
      <c r="F346" s="133"/>
      <c r="G346" s="22" t="s">
        <v>6</v>
      </c>
      <c r="H346" s="22" t="s">
        <v>6</v>
      </c>
      <c r="I346" s="22" t="s">
        <v>6</v>
      </c>
      <c r="J346" s="43">
        <f>SUM(J347:J347)</f>
        <v>0</v>
      </c>
      <c r="K346" s="43">
        <f>SUM(K347:K347)</f>
        <v>0</v>
      </c>
      <c r="L346" s="43">
        <f>SUM(L347:L347)</f>
        <v>0</v>
      </c>
      <c r="M346" s="35"/>
      <c r="N346" s="47">
        <f>SUM(N347:N347)</f>
        <v>3296.5</v>
      </c>
      <c r="O346" s="5"/>
      <c r="AI346" s="35"/>
      <c r="AS346" s="43">
        <f>SUM(AJ347:AJ347)</f>
        <v>0</v>
      </c>
      <c r="AT346" s="43">
        <f>SUM(AK347:AK347)</f>
        <v>0</v>
      </c>
      <c r="AU346" s="43">
        <f>SUM(AL347:AL347)</f>
        <v>0</v>
      </c>
    </row>
    <row r="347" spans="1:64" x14ac:dyDescent="0.25">
      <c r="A347" s="4" t="s">
        <v>251</v>
      </c>
      <c r="B347" s="14" t="s">
        <v>591</v>
      </c>
      <c r="C347" s="130" t="s">
        <v>1011</v>
      </c>
      <c r="D347" s="131"/>
      <c r="E347" s="131"/>
      <c r="F347" s="131"/>
      <c r="G347" s="14" t="s">
        <v>1168</v>
      </c>
      <c r="H347" s="24">
        <v>9.5</v>
      </c>
      <c r="I347" s="24">
        <v>0</v>
      </c>
      <c r="J347" s="24">
        <f>H347*AO347</f>
        <v>0</v>
      </c>
      <c r="K347" s="24">
        <f>H347*AP347</f>
        <v>0</v>
      </c>
      <c r="L347" s="24">
        <f>H347*I347</f>
        <v>0</v>
      </c>
      <c r="M347" s="24">
        <v>0</v>
      </c>
      <c r="N347" s="46">
        <f>H347*347</f>
        <v>3296.5</v>
      </c>
      <c r="O347" s="5"/>
      <c r="Z347" s="37">
        <f>IF(AQ347="5",BJ347,0)</f>
        <v>0</v>
      </c>
      <c r="AB347" s="37">
        <f>IF(AQ347="1",BH347,0)</f>
        <v>0</v>
      </c>
      <c r="AC347" s="37">
        <f>IF(AQ347="1",BI347,0)</f>
        <v>0</v>
      </c>
      <c r="AD347" s="37">
        <f>IF(AQ347="7",BH347,0)</f>
        <v>0</v>
      </c>
      <c r="AE347" s="37">
        <f>IF(AQ347="7",BI347,0)</f>
        <v>0</v>
      </c>
      <c r="AF347" s="37">
        <f>IF(AQ347="2",BH347,0)</f>
        <v>0</v>
      </c>
      <c r="AG347" s="37">
        <f>IF(AQ347="2",BI347,0)</f>
        <v>0</v>
      </c>
      <c r="AH347" s="37">
        <f>IF(AQ347="0",BJ347,0)</f>
        <v>0</v>
      </c>
      <c r="AI347" s="35"/>
      <c r="AJ347" s="24">
        <f>IF(AN347=0,L347,0)</f>
        <v>0</v>
      </c>
      <c r="AK347" s="24">
        <f>IF(AN347=15,L347,0)</f>
        <v>0</v>
      </c>
      <c r="AL347" s="24">
        <f>IF(AN347=21,L347,0)</f>
        <v>0</v>
      </c>
      <c r="AN347" s="37">
        <v>21</v>
      </c>
      <c r="AO347" s="37">
        <f>I347*0</f>
        <v>0</v>
      </c>
      <c r="AP347" s="37">
        <f>I347*(1-0)</f>
        <v>0</v>
      </c>
      <c r="AQ347" s="38" t="s">
        <v>11</v>
      </c>
      <c r="AV347" s="37">
        <f>AW347+AX347</f>
        <v>0</v>
      </c>
      <c r="AW347" s="37">
        <f>H347*AO347</f>
        <v>0</v>
      </c>
      <c r="AX347" s="37">
        <f>H347*AP347</f>
        <v>0</v>
      </c>
      <c r="AY347" s="40" t="s">
        <v>1232</v>
      </c>
      <c r="AZ347" s="40" t="s">
        <v>1260</v>
      </c>
      <c r="BA347" s="35" t="s">
        <v>1262</v>
      </c>
      <c r="BC347" s="37">
        <f>AW347+AX347</f>
        <v>0</v>
      </c>
      <c r="BD347" s="37">
        <f>I347/(100-BE347)*100</f>
        <v>0</v>
      </c>
      <c r="BE347" s="37">
        <v>0</v>
      </c>
      <c r="BF347" s="37">
        <f>N347</f>
        <v>3296.5</v>
      </c>
      <c r="BH347" s="24">
        <f>H347*AO347</f>
        <v>0</v>
      </c>
      <c r="BI347" s="24">
        <f>H347*AP347</f>
        <v>0</v>
      </c>
      <c r="BJ347" s="24">
        <f>H347*I347</f>
        <v>0</v>
      </c>
      <c r="BK347" s="24" t="s">
        <v>1267</v>
      </c>
      <c r="BL347" s="37" t="s">
        <v>590</v>
      </c>
    </row>
    <row r="348" spans="1:64" x14ac:dyDescent="0.25">
      <c r="A348" s="6"/>
      <c r="B348" s="15" t="s">
        <v>592</v>
      </c>
      <c r="C348" s="132" t="s">
        <v>1012</v>
      </c>
      <c r="D348" s="133"/>
      <c r="E348" s="133"/>
      <c r="F348" s="133"/>
      <c r="G348" s="22" t="s">
        <v>6</v>
      </c>
      <c r="H348" s="22" t="s">
        <v>6</v>
      </c>
      <c r="I348" s="22" t="s">
        <v>6</v>
      </c>
      <c r="J348" s="43">
        <f>SUM(J349:J349)</f>
        <v>0</v>
      </c>
      <c r="K348" s="43">
        <f>SUM(K349:K349)</f>
        <v>0</v>
      </c>
      <c r="L348" s="43">
        <f>SUM(L349:L349)</f>
        <v>0</v>
      </c>
      <c r="M348" s="35"/>
      <c r="N348" s="47">
        <f>SUM(N349:N349)</f>
        <v>69.8</v>
      </c>
      <c r="O348" s="5"/>
      <c r="AI348" s="35"/>
      <c r="AS348" s="43">
        <f>SUM(AJ349:AJ349)</f>
        <v>0</v>
      </c>
      <c r="AT348" s="43">
        <f>SUM(AK349:AK349)</f>
        <v>0</v>
      </c>
      <c r="AU348" s="43">
        <f>SUM(AL349:AL349)</f>
        <v>0</v>
      </c>
    </row>
    <row r="349" spans="1:64" x14ac:dyDescent="0.25">
      <c r="A349" s="4" t="s">
        <v>252</v>
      </c>
      <c r="B349" s="14" t="s">
        <v>593</v>
      </c>
      <c r="C349" s="130" t="s">
        <v>1013</v>
      </c>
      <c r="D349" s="131"/>
      <c r="E349" s="131"/>
      <c r="F349" s="131"/>
      <c r="G349" s="14" t="s">
        <v>1168</v>
      </c>
      <c r="H349" s="24">
        <v>0.2</v>
      </c>
      <c r="I349" s="24">
        <v>0</v>
      </c>
      <c r="J349" s="24">
        <f>H349*AO349</f>
        <v>0</v>
      </c>
      <c r="K349" s="24">
        <f>H349*AP349</f>
        <v>0</v>
      </c>
      <c r="L349" s="24">
        <f>H349*I349</f>
        <v>0</v>
      </c>
      <c r="M349" s="24">
        <v>0</v>
      </c>
      <c r="N349" s="46">
        <f>H349*349</f>
        <v>69.8</v>
      </c>
      <c r="O349" s="5"/>
      <c r="Z349" s="37">
        <f>IF(AQ349="5",BJ349,0)</f>
        <v>0</v>
      </c>
      <c r="AB349" s="37">
        <f>IF(AQ349="1",BH349,0)</f>
        <v>0</v>
      </c>
      <c r="AC349" s="37">
        <f>IF(AQ349="1",BI349,0)</f>
        <v>0</v>
      </c>
      <c r="AD349" s="37">
        <f>IF(AQ349="7",BH349,0)</f>
        <v>0</v>
      </c>
      <c r="AE349" s="37">
        <f>IF(AQ349="7",BI349,0)</f>
        <v>0</v>
      </c>
      <c r="AF349" s="37">
        <f>IF(AQ349="2",BH349,0)</f>
        <v>0</v>
      </c>
      <c r="AG349" s="37">
        <f>IF(AQ349="2",BI349,0)</f>
        <v>0</v>
      </c>
      <c r="AH349" s="37">
        <f>IF(AQ349="0",BJ349,0)</f>
        <v>0</v>
      </c>
      <c r="AI349" s="35"/>
      <c r="AJ349" s="24">
        <f>IF(AN349=0,L349,0)</f>
        <v>0</v>
      </c>
      <c r="AK349" s="24">
        <f>IF(AN349=15,L349,0)</f>
        <v>0</v>
      </c>
      <c r="AL349" s="24">
        <f>IF(AN349=21,L349,0)</f>
        <v>0</v>
      </c>
      <c r="AN349" s="37">
        <v>21</v>
      </c>
      <c r="AO349" s="37">
        <f>I349*0</f>
        <v>0</v>
      </c>
      <c r="AP349" s="37">
        <f>I349*(1-0)</f>
        <v>0</v>
      </c>
      <c r="AQ349" s="38" t="s">
        <v>11</v>
      </c>
      <c r="AV349" s="37">
        <f>AW349+AX349</f>
        <v>0</v>
      </c>
      <c r="AW349" s="37">
        <f>H349*AO349</f>
        <v>0</v>
      </c>
      <c r="AX349" s="37">
        <f>H349*AP349</f>
        <v>0</v>
      </c>
      <c r="AY349" s="40" t="s">
        <v>1233</v>
      </c>
      <c r="AZ349" s="40" t="s">
        <v>1260</v>
      </c>
      <c r="BA349" s="35" t="s">
        <v>1262</v>
      </c>
      <c r="BC349" s="37">
        <f>AW349+AX349</f>
        <v>0</v>
      </c>
      <c r="BD349" s="37">
        <f>I349/(100-BE349)*100</f>
        <v>0</v>
      </c>
      <c r="BE349" s="37">
        <v>0</v>
      </c>
      <c r="BF349" s="37">
        <f>N349</f>
        <v>69.8</v>
      </c>
      <c r="BH349" s="24">
        <f>H349*AO349</f>
        <v>0</v>
      </c>
      <c r="BI349" s="24">
        <f>H349*AP349</f>
        <v>0</v>
      </c>
      <c r="BJ349" s="24">
        <f>H349*I349</f>
        <v>0</v>
      </c>
      <c r="BK349" s="24" t="s">
        <v>1267</v>
      </c>
      <c r="BL349" s="37" t="s">
        <v>592</v>
      </c>
    </row>
    <row r="350" spans="1:64" x14ac:dyDescent="0.25">
      <c r="A350" s="6"/>
      <c r="B350" s="15" t="s">
        <v>594</v>
      </c>
      <c r="C350" s="132" t="s">
        <v>1014</v>
      </c>
      <c r="D350" s="133"/>
      <c r="E350" s="133"/>
      <c r="F350" s="133"/>
      <c r="G350" s="22" t="s">
        <v>6</v>
      </c>
      <c r="H350" s="22" t="s">
        <v>6</v>
      </c>
      <c r="I350" s="22" t="s">
        <v>6</v>
      </c>
      <c r="J350" s="43">
        <f>SUM(J351:J351)</f>
        <v>0</v>
      </c>
      <c r="K350" s="43">
        <f>SUM(K351:K351)</f>
        <v>0</v>
      </c>
      <c r="L350" s="43">
        <f>SUM(L351:L351)</f>
        <v>0</v>
      </c>
      <c r="M350" s="35"/>
      <c r="N350" s="47">
        <f>SUM(N351:N351)</f>
        <v>70.2</v>
      </c>
      <c r="O350" s="5"/>
      <c r="AI350" s="35"/>
      <c r="AS350" s="43">
        <f>SUM(AJ351:AJ351)</f>
        <v>0</v>
      </c>
      <c r="AT350" s="43">
        <f>SUM(AK351:AK351)</f>
        <v>0</v>
      </c>
      <c r="AU350" s="43">
        <f>SUM(AL351:AL351)</f>
        <v>0</v>
      </c>
    </row>
    <row r="351" spans="1:64" x14ac:dyDescent="0.25">
      <c r="A351" s="4" t="s">
        <v>253</v>
      </c>
      <c r="B351" s="14" t="s">
        <v>595</v>
      </c>
      <c r="C351" s="130" t="s">
        <v>1015</v>
      </c>
      <c r="D351" s="131"/>
      <c r="E351" s="131"/>
      <c r="F351" s="131"/>
      <c r="G351" s="14" t="s">
        <v>1168</v>
      </c>
      <c r="H351" s="24">
        <v>0.2</v>
      </c>
      <c r="I351" s="24">
        <v>0</v>
      </c>
      <c r="J351" s="24">
        <f>H351*AO351</f>
        <v>0</v>
      </c>
      <c r="K351" s="24">
        <f>H351*AP351</f>
        <v>0</v>
      </c>
      <c r="L351" s="24">
        <f>H351*I351</f>
        <v>0</v>
      </c>
      <c r="M351" s="24">
        <v>0</v>
      </c>
      <c r="N351" s="46">
        <f>H351*351</f>
        <v>70.2</v>
      </c>
      <c r="O351" s="5"/>
      <c r="Z351" s="37">
        <f>IF(AQ351="5",BJ351,0)</f>
        <v>0</v>
      </c>
      <c r="AB351" s="37">
        <f>IF(AQ351="1",BH351,0)</f>
        <v>0</v>
      </c>
      <c r="AC351" s="37">
        <f>IF(AQ351="1",BI351,0)</f>
        <v>0</v>
      </c>
      <c r="AD351" s="37">
        <f>IF(AQ351="7",BH351,0)</f>
        <v>0</v>
      </c>
      <c r="AE351" s="37">
        <f>IF(AQ351="7",BI351,0)</f>
        <v>0</v>
      </c>
      <c r="AF351" s="37">
        <f>IF(AQ351="2",BH351,0)</f>
        <v>0</v>
      </c>
      <c r="AG351" s="37">
        <f>IF(AQ351="2",BI351,0)</f>
        <v>0</v>
      </c>
      <c r="AH351" s="37">
        <f>IF(AQ351="0",BJ351,0)</f>
        <v>0</v>
      </c>
      <c r="AI351" s="35"/>
      <c r="AJ351" s="24">
        <f>IF(AN351=0,L351,0)</f>
        <v>0</v>
      </c>
      <c r="AK351" s="24">
        <f>IF(AN351=15,L351,0)</f>
        <v>0</v>
      </c>
      <c r="AL351" s="24">
        <f>IF(AN351=21,L351,0)</f>
        <v>0</v>
      </c>
      <c r="AN351" s="37">
        <v>21</v>
      </c>
      <c r="AO351" s="37">
        <f>I351*0</f>
        <v>0</v>
      </c>
      <c r="AP351" s="37">
        <f>I351*(1-0)</f>
        <v>0</v>
      </c>
      <c r="AQ351" s="38" t="s">
        <v>11</v>
      </c>
      <c r="AV351" s="37">
        <f>AW351+AX351</f>
        <v>0</v>
      </c>
      <c r="AW351" s="37">
        <f>H351*AO351</f>
        <v>0</v>
      </c>
      <c r="AX351" s="37">
        <f>H351*AP351</f>
        <v>0</v>
      </c>
      <c r="AY351" s="40" t="s">
        <v>1234</v>
      </c>
      <c r="AZ351" s="40" t="s">
        <v>1260</v>
      </c>
      <c r="BA351" s="35" t="s">
        <v>1262</v>
      </c>
      <c r="BC351" s="37">
        <f>AW351+AX351</f>
        <v>0</v>
      </c>
      <c r="BD351" s="37">
        <f>I351/(100-BE351)*100</f>
        <v>0</v>
      </c>
      <c r="BE351" s="37">
        <v>0</v>
      </c>
      <c r="BF351" s="37">
        <f>N351</f>
        <v>70.2</v>
      </c>
      <c r="BH351" s="24">
        <f>H351*AO351</f>
        <v>0</v>
      </c>
      <c r="BI351" s="24">
        <f>H351*AP351</f>
        <v>0</v>
      </c>
      <c r="BJ351" s="24">
        <f>H351*I351</f>
        <v>0</v>
      </c>
      <c r="BK351" s="24" t="s">
        <v>1267</v>
      </c>
      <c r="BL351" s="37" t="s">
        <v>594</v>
      </c>
    </row>
    <row r="352" spans="1:64" x14ac:dyDescent="0.25">
      <c r="A352" s="6"/>
      <c r="B352" s="15" t="s">
        <v>596</v>
      </c>
      <c r="C352" s="132" t="s">
        <v>1016</v>
      </c>
      <c r="D352" s="133"/>
      <c r="E352" s="133"/>
      <c r="F352" s="133"/>
      <c r="G352" s="22" t="s">
        <v>6</v>
      </c>
      <c r="H352" s="22" t="s">
        <v>6</v>
      </c>
      <c r="I352" s="22" t="s">
        <v>6</v>
      </c>
      <c r="J352" s="43">
        <f>SUM(J353:J353)</f>
        <v>0</v>
      </c>
      <c r="K352" s="43">
        <f>SUM(K353:K353)</f>
        <v>0</v>
      </c>
      <c r="L352" s="43">
        <f>SUM(L353:L353)</f>
        <v>0</v>
      </c>
      <c r="M352" s="35"/>
      <c r="N352" s="47">
        <f>SUM(N353:N353)</f>
        <v>35.300000000000004</v>
      </c>
      <c r="O352" s="5"/>
      <c r="AI352" s="35"/>
      <c r="AS352" s="43">
        <f>SUM(AJ353:AJ353)</f>
        <v>0</v>
      </c>
      <c r="AT352" s="43">
        <f>SUM(AK353:AK353)</f>
        <v>0</v>
      </c>
      <c r="AU352" s="43">
        <f>SUM(AL353:AL353)</f>
        <v>0</v>
      </c>
    </row>
    <row r="353" spans="1:64" x14ac:dyDescent="0.25">
      <c r="A353" s="4" t="s">
        <v>254</v>
      </c>
      <c r="B353" s="14" t="s">
        <v>597</v>
      </c>
      <c r="C353" s="130" t="s">
        <v>1017</v>
      </c>
      <c r="D353" s="131"/>
      <c r="E353" s="131"/>
      <c r="F353" s="131"/>
      <c r="G353" s="14" t="s">
        <v>1168</v>
      </c>
      <c r="H353" s="24">
        <v>0.1</v>
      </c>
      <c r="I353" s="24">
        <v>0</v>
      </c>
      <c r="J353" s="24">
        <f>H353*AO353</f>
        <v>0</v>
      </c>
      <c r="K353" s="24">
        <f>H353*AP353</f>
        <v>0</v>
      </c>
      <c r="L353" s="24">
        <f>H353*I353</f>
        <v>0</v>
      </c>
      <c r="M353" s="24">
        <v>0</v>
      </c>
      <c r="N353" s="46">
        <f>H353*353</f>
        <v>35.300000000000004</v>
      </c>
      <c r="O353" s="5"/>
      <c r="Z353" s="37">
        <f>IF(AQ353="5",BJ353,0)</f>
        <v>0</v>
      </c>
      <c r="AB353" s="37">
        <f>IF(AQ353="1",BH353,0)</f>
        <v>0</v>
      </c>
      <c r="AC353" s="37">
        <f>IF(AQ353="1",BI353,0)</f>
        <v>0</v>
      </c>
      <c r="AD353" s="37">
        <f>IF(AQ353="7",BH353,0)</f>
        <v>0</v>
      </c>
      <c r="AE353" s="37">
        <f>IF(AQ353="7",BI353,0)</f>
        <v>0</v>
      </c>
      <c r="AF353" s="37">
        <f>IF(AQ353="2",BH353,0)</f>
        <v>0</v>
      </c>
      <c r="AG353" s="37">
        <f>IF(AQ353="2",BI353,0)</f>
        <v>0</v>
      </c>
      <c r="AH353" s="37">
        <f>IF(AQ353="0",BJ353,0)</f>
        <v>0</v>
      </c>
      <c r="AI353" s="35"/>
      <c r="AJ353" s="24">
        <f>IF(AN353=0,L353,0)</f>
        <v>0</v>
      </c>
      <c r="AK353" s="24">
        <f>IF(AN353=15,L353,0)</f>
        <v>0</v>
      </c>
      <c r="AL353" s="24">
        <f>IF(AN353=21,L353,0)</f>
        <v>0</v>
      </c>
      <c r="AN353" s="37">
        <v>21</v>
      </c>
      <c r="AO353" s="37">
        <f>I353*0</f>
        <v>0</v>
      </c>
      <c r="AP353" s="37">
        <f>I353*(1-0)</f>
        <v>0</v>
      </c>
      <c r="AQ353" s="38" t="s">
        <v>11</v>
      </c>
      <c r="AV353" s="37">
        <f>AW353+AX353</f>
        <v>0</v>
      </c>
      <c r="AW353" s="37">
        <f>H353*AO353</f>
        <v>0</v>
      </c>
      <c r="AX353" s="37">
        <f>H353*AP353</f>
        <v>0</v>
      </c>
      <c r="AY353" s="40" t="s">
        <v>1235</v>
      </c>
      <c r="AZ353" s="40" t="s">
        <v>1260</v>
      </c>
      <c r="BA353" s="35" t="s">
        <v>1262</v>
      </c>
      <c r="BC353" s="37">
        <f>AW353+AX353</f>
        <v>0</v>
      </c>
      <c r="BD353" s="37">
        <f>I353/(100-BE353)*100</f>
        <v>0</v>
      </c>
      <c r="BE353" s="37">
        <v>0</v>
      </c>
      <c r="BF353" s="37">
        <f>N353</f>
        <v>35.300000000000004</v>
      </c>
      <c r="BH353" s="24">
        <f>H353*AO353</f>
        <v>0</v>
      </c>
      <c r="BI353" s="24">
        <f>H353*AP353</f>
        <v>0</v>
      </c>
      <c r="BJ353" s="24">
        <f>H353*I353</f>
        <v>0</v>
      </c>
      <c r="BK353" s="24" t="s">
        <v>1267</v>
      </c>
      <c r="BL353" s="37" t="s">
        <v>596</v>
      </c>
    </row>
    <row r="354" spans="1:64" x14ac:dyDescent="0.25">
      <c r="A354" s="6"/>
      <c r="B354" s="15" t="s">
        <v>598</v>
      </c>
      <c r="C354" s="132" t="s">
        <v>791</v>
      </c>
      <c r="D354" s="133"/>
      <c r="E354" s="133"/>
      <c r="F354" s="133"/>
      <c r="G354" s="22" t="s">
        <v>6</v>
      </c>
      <c r="H354" s="22" t="s">
        <v>6</v>
      </c>
      <c r="I354" s="22" t="s">
        <v>6</v>
      </c>
      <c r="J354" s="43">
        <f>SUM(J355:J355)</f>
        <v>0</v>
      </c>
      <c r="K354" s="43">
        <f>SUM(K355:K355)</f>
        <v>0</v>
      </c>
      <c r="L354" s="43">
        <f>SUM(L355:L355)</f>
        <v>0</v>
      </c>
      <c r="M354" s="35"/>
      <c r="N354" s="47">
        <f>SUM(N355:N355)</f>
        <v>35.5</v>
      </c>
      <c r="O354" s="5"/>
      <c r="AI354" s="35"/>
      <c r="AS354" s="43">
        <f>SUM(AJ355:AJ355)</f>
        <v>0</v>
      </c>
      <c r="AT354" s="43">
        <f>SUM(AK355:AK355)</f>
        <v>0</v>
      </c>
      <c r="AU354" s="43">
        <f>SUM(AL355:AL355)</f>
        <v>0</v>
      </c>
    </row>
    <row r="355" spans="1:64" x14ac:dyDescent="0.25">
      <c r="A355" s="4" t="s">
        <v>255</v>
      </c>
      <c r="B355" s="14" t="s">
        <v>599</v>
      </c>
      <c r="C355" s="130" t="s">
        <v>1018</v>
      </c>
      <c r="D355" s="131"/>
      <c r="E355" s="131"/>
      <c r="F355" s="131"/>
      <c r="G355" s="14" t="s">
        <v>1168</v>
      </c>
      <c r="H355" s="24">
        <v>0.1</v>
      </c>
      <c r="I355" s="24">
        <v>0</v>
      </c>
      <c r="J355" s="24">
        <f>H355*AO355</f>
        <v>0</v>
      </c>
      <c r="K355" s="24">
        <f>H355*AP355</f>
        <v>0</v>
      </c>
      <c r="L355" s="24">
        <f>H355*I355</f>
        <v>0</v>
      </c>
      <c r="M355" s="24">
        <v>0</v>
      </c>
      <c r="N355" s="46">
        <f>H355*355</f>
        <v>35.5</v>
      </c>
      <c r="O355" s="5"/>
      <c r="Z355" s="37">
        <f>IF(AQ355="5",BJ355,0)</f>
        <v>0</v>
      </c>
      <c r="AB355" s="37">
        <f>IF(AQ355="1",BH355,0)</f>
        <v>0</v>
      </c>
      <c r="AC355" s="37">
        <f>IF(AQ355="1",BI355,0)</f>
        <v>0</v>
      </c>
      <c r="AD355" s="37">
        <f>IF(AQ355="7",BH355,0)</f>
        <v>0</v>
      </c>
      <c r="AE355" s="37">
        <f>IF(AQ355="7",BI355,0)</f>
        <v>0</v>
      </c>
      <c r="AF355" s="37">
        <f>IF(AQ355="2",BH355,0)</f>
        <v>0</v>
      </c>
      <c r="AG355" s="37">
        <f>IF(AQ355="2",BI355,0)</f>
        <v>0</v>
      </c>
      <c r="AH355" s="37">
        <f>IF(AQ355="0",BJ355,0)</f>
        <v>0</v>
      </c>
      <c r="AI355" s="35"/>
      <c r="AJ355" s="24">
        <f>IF(AN355=0,L355,0)</f>
        <v>0</v>
      </c>
      <c r="AK355" s="24">
        <f>IF(AN355=15,L355,0)</f>
        <v>0</v>
      </c>
      <c r="AL355" s="24">
        <f>IF(AN355=21,L355,0)</f>
        <v>0</v>
      </c>
      <c r="AN355" s="37">
        <v>21</v>
      </c>
      <c r="AO355" s="37">
        <f>I355*0</f>
        <v>0</v>
      </c>
      <c r="AP355" s="37">
        <f>I355*(1-0)</f>
        <v>0</v>
      </c>
      <c r="AQ355" s="38" t="s">
        <v>11</v>
      </c>
      <c r="AV355" s="37">
        <f>AW355+AX355</f>
        <v>0</v>
      </c>
      <c r="AW355" s="37">
        <f>H355*AO355</f>
        <v>0</v>
      </c>
      <c r="AX355" s="37">
        <f>H355*AP355</f>
        <v>0</v>
      </c>
      <c r="AY355" s="40" t="s">
        <v>1236</v>
      </c>
      <c r="AZ355" s="40" t="s">
        <v>1260</v>
      </c>
      <c r="BA355" s="35" t="s">
        <v>1262</v>
      </c>
      <c r="BC355" s="37">
        <f>AW355+AX355</f>
        <v>0</v>
      </c>
      <c r="BD355" s="37">
        <f>I355/(100-BE355)*100</f>
        <v>0</v>
      </c>
      <c r="BE355" s="37">
        <v>0</v>
      </c>
      <c r="BF355" s="37">
        <f>N355</f>
        <v>35.5</v>
      </c>
      <c r="BH355" s="24">
        <f>H355*AO355</f>
        <v>0</v>
      </c>
      <c r="BI355" s="24">
        <f>H355*AP355</f>
        <v>0</v>
      </c>
      <c r="BJ355" s="24">
        <f>H355*I355</f>
        <v>0</v>
      </c>
      <c r="BK355" s="24" t="s">
        <v>1267</v>
      </c>
      <c r="BL355" s="37" t="s">
        <v>598</v>
      </c>
    </row>
    <row r="356" spans="1:64" x14ac:dyDescent="0.25">
      <c r="A356" s="6"/>
      <c r="B356" s="15" t="s">
        <v>600</v>
      </c>
      <c r="C356" s="132" t="s">
        <v>798</v>
      </c>
      <c r="D356" s="133"/>
      <c r="E356" s="133"/>
      <c r="F356" s="133"/>
      <c r="G356" s="22" t="s">
        <v>6</v>
      </c>
      <c r="H356" s="22" t="s">
        <v>6</v>
      </c>
      <c r="I356" s="22" t="s">
        <v>6</v>
      </c>
      <c r="J356" s="43">
        <f>SUM(J357:J357)</f>
        <v>0</v>
      </c>
      <c r="K356" s="43">
        <f>SUM(K357:K357)</f>
        <v>0</v>
      </c>
      <c r="L356" s="43">
        <f>SUM(L357:L357)</f>
        <v>0</v>
      </c>
      <c r="M356" s="35"/>
      <c r="N356" s="47">
        <f>SUM(N357:N357)</f>
        <v>35.700000000000003</v>
      </c>
      <c r="O356" s="5"/>
      <c r="AI356" s="35"/>
      <c r="AS356" s="43">
        <f>SUM(AJ357:AJ357)</f>
        <v>0</v>
      </c>
      <c r="AT356" s="43">
        <f>SUM(AK357:AK357)</f>
        <v>0</v>
      </c>
      <c r="AU356" s="43">
        <f>SUM(AL357:AL357)</f>
        <v>0</v>
      </c>
    </row>
    <row r="357" spans="1:64" x14ac:dyDescent="0.25">
      <c r="A357" s="4" t="s">
        <v>256</v>
      </c>
      <c r="B357" s="14" t="s">
        <v>601</v>
      </c>
      <c r="C357" s="130" t="s">
        <v>1019</v>
      </c>
      <c r="D357" s="131"/>
      <c r="E357" s="131"/>
      <c r="F357" s="131"/>
      <c r="G357" s="14" t="s">
        <v>1168</v>
      </c>
      <c r="H357" s="24">
        <v>0.1</v>
      </c>
      <c r="I357" s="24">
        <v>0</v>
      </c>
      <c r="J357" s="24">
        <f>H357*AO357</f>
        <v>0</v>
      </c>
      <c r="K357" s="24">
        <f>H357*AP357</f>
        <v>0</v>
      </c>
      <c r="L357" s="24">
        <f>H357*I357</f>
        <v>0</v>
      </c>
      <c r="M357" s="24">
        <v>0</v>
      </c>
      <c r="N357" s="46">
        <f>H357*357</f>
        <v>35.700000000000003</v>
      </c>
      <c r="O357" s="5"/>
      <c r="Z357" s="37">
        <f>IF(AQ357="5",BJ357,0)</f>
        <v>0</v>
      </c>
      <c r="AB357" s="37">
        <f>IF(AQ357="1",BH357,0)</f>
        <v>0</v>
      </c>
      <c r="AC357" s="37">
        <f>IF(AQ357="1",BI357,0)</f>
        <v>0</v>
      </c>
      <c r="AD357" s="37">
        <f>IF(AQ357="7",BH357,0)</f>
        <v>0</v>
      </c>
      <c r="AE357" s="37">
        <f>IF(AQ357="7",BI357,0)</f>
        <v>0</v>
      </c>
      <c r="AF357" s="37">
        <f>IF(AQ357="2",BH357,0)</f>
        <v>0</v>
      </c>
      <c r="AG357" s="37">
        <f>IF(AQ357="2",BI357,0)</f>
        <v>0</v>
      </c>
      <c r="AH357" s="37">
        <f>IF(AQ357="0",BJ357,0)</f>
        <v>0</v>
      </c>
      <c r="AI357" s="35"/>
      <c r="AJ357" s="24">
        <f>IF(AN357=0,L357,0)</f>
        <v>0</v>
      </c>
      <c r="AK357" s="24">
        <f>IF(AN357=15,L357,0)</f>
        <v>0</v>
      </c>
      <c r="AL357" s="24">
        <f>IF(AN357=21,L357,0)</f>
        <v>0</v>
      </c>
      <c r="AN357" s="37">
        <v>21</v>
      </c>
      <c r="AO357" s="37">
        <f>I357*0</f>
        <v>0</v>
      </c>
      <c r="AP357" s="37">
        <f>I357*(1-0)</f>
        <v>0</v>
      </c>
      <c r="AQ357" s="38" t="s">
        <v>11</v>
      </c>
      <c r="AV357" s="37">
        <f>AW357+AX357</f>
        <v>0</v>
      </c>
      <c r="AW357" s="37">
        <f>H357*AO357</f>
        <v>0</v>
      </c>
      <c r="AX357" s="37">
        <f>H357*AP357</f>
        <v>0</v>
      </c>
      <c r="AY357" s="40" t="s">
        <v>1237</v>
      </c>
      <c r="AZ357" s="40" t="s">
        <v>1260</v>
      </c>
      <c r="BA357" s="35" t="s">
        <v>1262</v>
      </c>
      <c r="BC357" s="37">
        <f>AW357+AX357</f>
        <v>0</v>
      </c>
      <c r="BD357" s="37">
        <f>I357/(100-BE357)*100</f>
        <v>0</v>
      </c>
      <c r="BE357" s="37">
        <v>0</v>
      </c>
      <c r="BF357" s="37">
        <f>N357</f>
        <v>35.700000000000003</v>
      </c>
      <c r="BH357" s="24">
        <f>H357*AO357</f>
        <v>0</v>
      </c>
      <c r="BI357" s="24">
        <f>H357*AP357</f>
        <v>0</v>
      </c>
      <c r="BJ357" s="24">
        <f>H357*I357</f>
        <v>0</v>
      </c>
      <c r="BK357" s="24" t="s">
        <v>1267</v>
      </c>
      <c r="BL357" s="37" t="s">
        <v>600</v>
      </c>
    </row>
    <row r="358" spans="1:64" x14ac:dyDescent="0.25">
      <c r="A358" s="6"/>
      <c r="B358" s="15" t="s">
        <v>602</v>
      </c>
      <c r="C358" s="132" t="s">
        <v>811</v>
      </c>
      <c r="D358" s="133"/>
      <c r="E358" s="133"/>
      <c r="F358" s="133"/>
      <c r="G358" s="22" t="s">
        <v>6</v>
      </c>
      <c r="H358" s="22" t="s">
        <v>6</v>
      </c>
      <c r="I358" s="22" t="s">
        <v>6</v>
      </c>
      <c r="J358" s="43">
        <f>SUM(J359:J359)</f>
        <v>0</v>
      </c>
      <c r="K358" s="43">
        <f>SUM(K359:K359)</f>
        <v>0</v>
      </c>
      <c r="L358" s="43">
        <f>SUM(L359:L359)</f>
        <v>0</v>
      </c>
      <c r="M358" s="35"/>
      <c r="N358" s="47">
        <f>SUM(N359:N359)</f>
        <v>107.7</v>
      </c>
      <c r="O358" s="5"/>
      <c r="AI358" s="35"/>
      <c r="AS358" s="43">
        <f>SUM(AJ359:AJ359)</f>
        <v>0</v>
      </c>
      <c r="AT358" s="43">
        <f>SUM(AK359:AK359)</f>
        <v>0</v>
      </c>
      <c r="AU358" s="43">
        <f>SUM(AL359:AL359)</f>
        <v>0</v>
      </c>
    </row>
    <row r="359" spans="1:64" x14ac:dyDescent="0.25">
      <c r="A359" s="4" t="s">
        <v>257</v>
      </c>
      <c r="B359" s="14" t="s">
        <v>603</v>
      </c>
      <c r="C359" s="130" t="s">
        <v>1020</v>
      </c>
      <c r="D359" s="131"/>
      <c r="E359" s="131"/>
      <c r="F359" s="131"/>
      <c r="G359" s="14" t="s">
        <v>1168</v>
      </c>
      <c r="H359" s="24">
        <v>0.3</v>
      </c>
      <c r="I359" s="24">
        <v>0</v>
      </c>
      <c r="J359" s="24">
        <f>H359*AO359</f>
        <v>0</v>
      </c>
      <c r="K359" s="24">
        <f>H359*AP359</f>
        <v>0</v>
      </c>
      <c r="L359" s="24">
        <f>H359*I359</f>
        <v>0</v>
      </c>
      <c r="M359" s="24">
        <v>0</v>
      </c>
      <c r="N359" s="46">
        <f>H359*359</f>
        <v>107.7</v>
      </c>
      <c r="O359" s="5"/>
      <c r="Z359" s="37">
        <f>IF(AQ359="5",BJ359,0)</f>
        <v>0</v>
      </c>
      <c r="AB359" s="37">
        <f>IF(AQ359="1",BH359,0)</f>
        <v>0</v>
      </c>
      <c r="AC359" s="37">
        <f>IF(AQ359="1",BI359,0)</f>
        <v>0</v>
      </c>
      <c r="AD359" s="37">
        <f>IF(AQ359="7",BH359,0)</f>
        <v>0</v>
      </c>
      <c r="AE359" s="37">
        <f>IF(AQ359="7",BI359,0)</f>
        <v>0</v>
      </c>
      <c r="AF359" s="37">
        <f>IF(AQ359="2",BH359,0)</f>
        <v>0</v>
      </c>
      <c r="AG359" s="37">
        <f>IF(AQ359="2",BI359,0)</f>
        <v>0</v>
      </c>
      <c r="AH359" s="37">
        <f>IF(AQ359="0",BJ359,0)</f>
        <v>0</v>
      </c>
      <c r="AI359" s="35"/>
      <c r="AJ359" s="24">
        <f>IF(AN359=0,L359,0)</f>
        <v>0</v>
      </c>
      <c r="AK359" s="24">
        <f>IF(AN359=15,L359,0)</f>
        <v>0</v>
      </c>
      <c r="AL359" s="24">
        <f>IF(AN359=21,L359,0)</f>
        <v>0</v>
      </c>
      <c r="AN359" s="37">
        <v>21</v>
      </c>
      <c r="AO359" s="37">
        <f>I359*0</f>
        <v>0</v>
      </c>
      <c r="AP359" s="37">
        <f>I359*(1-0)</f>
        <v>0</v>
      </c>
      <c r="AQ359" s="38" t="s">
        <v>11</v>
      </c>
      <c r="AV359" s="37">
        <f>AW359+AX359</f>
        <v>0</v>
      </c>
      <c r="AW359" s="37">
        <f>H359*AO359</f>
        <v>0</v>
      </c>
      <c r="AX359" s="37">
        <f>H359*AP359</f>
        <v>0</v>
      </c>
      <c r="AY359" s="40" t="s">
        <v>1238</v>
      </c>
      <c r="AZ359" s="40" t="s">
        <v>1260</v>
      </c>
      <c r="BA359" s="35" t="s">
        <v>1262</v>
      </c>
      <c r="BC359" s="37">
        <f>AW359+AX359</f>
        <v>0</v>
      </c>
      <c r="BD359" s="37">
        <f>I359/(100-BE359)*100</f>
        <v>0</v>
      </c>
      <c r="BE359" s="37">
        <v>0</v>
      </c>
      <c r="BF359" s="37">
        <f>N359</f>
        <v>107.7</v>
      </c>
      <c r="BH359" s="24">
        <f>H359*AO359</f>
        <v>0</v>
      </c>
      <c r="BI359" s="24">
        <f>H359*AP359</f>
        <v>0</v>
      </c>
      <c r="BJ359" s="24">
        <f>H359*I359</f>
        <v>0</v>
      </c>
      <c r="BK359" s="24" t="s">
        <v>1267</v>
      </c>
      <c r="BL359" s="37" t="s">
        <v>602</v>
      </c>
    </row>
    <row r="360" spans="1:64" x14ac:dyDescent="0.25">
      <c r="A360" s="6"/>
      <c r="B360" s="15" t="s">
        <v>604</v>
      </c>
      <c r="C360" s="132" t="s">
        <v>830</v>
      </c>
      <c r="D360" s="133"/>
      <c r="E360" s="133"/>
      <c r="F360" s="133"/>
      <c r="G360" s="22" t="s">
        <v>6</v>
      </c>
      <c r="H360" s="22" t="s">
        <v>6</v>
      </c>
      <c r="I360" s="22" t="s">
        <v>6</v>
      </c>
      <c r="J360" s="43">
        <f>SUM(J361:J361)</f>
        <v>0</v>
      </c>
      <c r="K360" s="43">
        <f>SUM(K361:K361)</f>
        <v>0</v>
      </c>
      <c r="L360" s="43">
        <f>SUM(L361:L361)</f>
        <v>0</v>
      </c>
      <c r="M360" s="35"/>
      <c r="N360" s="47">
        <f>SUM(N361:N361)</f>
        <v>1010.8</v>
      </c>
      <c r="O360" s="5"/>
      <c r="AI360" s="35"/>
      <c r="AS360" s="43">
        <f>SUM(AJ361:AJ361)</f>
        <v>0</v>
      </c>
      <c r="AT360" s="43">
        <f>SUM(AK361:AK361)</f>
        <v>0</v>
      </c>
      <c r="AU360" s="43">
        <f>SUM(AL361:AL361)</f>
        <v>0</v>
      </c>
    </row>
    <row r="361" spans="1:64" x14ac:dyDescent="0.25">
      <c r="A361" s="4" t="s">
        <v>258</v>
      </c>
      <c r="B361" s="14" t="s">
        <v>605</v>
      </c>
      <c r="C361" s="130" t="s">
        <v>1021</v>
      </c>
      <c r="D361" s="131"/>
      <c r="E361" s="131"/>
      <c r="F361" s="131"/>
      <c r="G361" s="14" t="s">
        <v>1168</v>
      </c>
      <c r="H361" s="24">
        <v>2.8</v>
      </c>
      <c r="I361" s="24">
        <v>0</v>
      </c>
      <c r="J361" s="24">
        <f>H361*AO361</f>
        <v>0</v>
      </c>
      <c r="K361" s="24">
        <f>H361*AP361</f>
        <v>0</v>
      </c>
      <c r="L361" s="24">
        <f>H361*I361</f>
        <v>0</v>
      </c>
      <c r="M361" s="24">
        <v>0</v>
      </c>
      <c r="N361" s="46">
        <f>H361*361</f>
        <v>1010.8</v>
      </c>
      <c r="O361" s="5"/>
      <c r="Z361" s="37">
        <f>IF(AQ361="5",BJ361,0)</f>
        <v>0</v>
      </c>
      <c r="AB361" s="37">
        <f>IF(AQ361="1",BH361,0)</f>
        <v>0</v>
      </c>
      <c r="AC361" s="37">
        <f>IF(AQ361="1",BI361,0)</f>
        <v>0</v>
      </c>
      <c r="AD361" s="37">
        <f>IF(AQ361="7",BH361,0)</f>
        <v>0</v>
      </c>
      <c r="AE361" s="37">
        <f>IF(AQ361="7",BI361,0)</f>
        <v>0</v>
      </c>
      <c r="AF361" s="37">
        <f>IF(AQ361="2",BH361,0)</f>
        <v>0</v>
      </c>
      <c r="AG361" s="37">
        <f>IF(AQ361="2",BI361,0)</f>
        <v>0</v>
      </c>
      <c r="AH361" s="37">
        <f>IF(AQ361="0",BJ361,0)</f>
        <v>0</v>
      </c>
      <c r="AI361" s="35"/>
      <c r="AJ361" s="24">
        <f>IF(AN361=0,L361,0)</f>
        <v>0</v>
      </c>
      <c r="AK361" s="24">
        <f>IF(AN361=15,L361,0)</f>
        <v>0</v>
      </c>
      <c r="AL361" s="24">
        <f>IF(AN361=21,L361,0)</f>
        <v>0</v>
      </c>
      <c r="AN361" s="37">
        <v>21</v>
      </c>
      <c r="AO361" s="37">
        <f>I361*0</f>
        <v>0</v>
      </c>
      <c r="AP361" s="37">
        <f>I361*(1-0)</f>
        <v>0</v>
      </c>
      <c r="AQ361" s="38" t="s">
        <v>11</v>
      </c>
      <c r="AV361" s="37">
        <f>AW361+AX361</f>
        <v>0</v>
      </c>
      <c r="AW361" s="37">
        <f>H361*AO361</f>
        <v>0</v>
      </c>
      <c r="AX361" s="37">
        <f>H361*AP361</f>
        <v>0</v>
      </c>
      <c r="AY361" s="40" t="s">
        <v>1239</v>
      </c>
      <c r="AZ361" s="40" t="s">
        <v>1260</v>
      </c>
      <c r="BA361" s="35" t="s">
        <v>1262</v>
      </c>
      <c r="BC361" s="37">
        <f>AW361+AX361</f>
        <v>0</v>
      </c>
      <c r="BD361" s="37">
        <f>I361/(100-BE361)*100</f>
        <v>0</v>
      </c>
      <c r="BE361" s="37">
        <v>0</v>
      </c>
      <c r="BF361" s="37">
        <f>N361</f>
        <v>1010.8</v>
      </c>
      <c r="BH361" s="24">
        <f>H361*AO361</f>
        <v>0</v>
      </c>
      <c r="BI361" s="24">
        <f>H361*AP361</f>
        <v>0</v>
      </c>
      <c r="BJ361" s="24">
        <f>H361*I361</f>
        <v>0</v>
      </c>
      <c r="BK361" s="24" t="s">
        <v>1267</v>
      </c>
      <c r="BL361" s="37" t="s">
        <v>604</v>
      </c>
    </row>
    <row r="362" spans="1:64" x14ac:dyDescent="0.25">
      <c r="A362" s="6"/>
      <c r="B362" s="15" t="s">
        <v>606</v>
      </c>
      <c r="C362" s="132" t="s">
        <v>863</v>
      </c>
      <c r="D362" s="133"/>
      <c r="E362" s="133"/>
      <c r="F362" s="133"/>
      <c r="G362" s="22" t="s">
        <v>6</v>
      </c>
      <c r="H362" s="22" t="s">
        <v>6</v>
      </c>
      <c r="I362" s="22" t="s">
        <v>6</v>
      </c>
      <c r="J362" s="43">
        <f>SUM(J363:J363)</f>
        <v>0</v>
      </c>
      <c r="K362" s="43">
        <f>SUM(K363:K363)</f>
        <v>0</v>
      </c>
      <c r="L362" s="43">
        <f>SUM(L363:L363)</f>
        <v>0</v>
      </c>
      <c r="M362" s="35"/>
      <c r="N362" s="47">
        <f>SUM(N363:N363)</f>
        <v>508.2</v>
      </c>
      <c r="O362" s="5"/>
      <c r="AI362" s="35"/>
      <c r="AS362" s="43">
        <f>SUM(AJ363:AJ363)</f>
        <v>0</v>
      </c>
      <c r="AT362" s="43">
        <f>SUM(AK363:AK363)</f>
        <v>0</v>
      </c>
      <c r="AU362" s="43">
        <f>SUM(AL363:AL363)</f>
        <v>0</v>
      </c>
    </row>
    <row r="363" spans="1:64" x14ac:dyDescent="0.25">
      <c r="A363" s="4" t="s">
        <v>259</v>
      </c>
      <c r="B363" s="14" t="s">
        <v>607</v>
      </c>
      <c r="C363" s="130" t="s">
        <v>1022</v>
      </c>
      <c r="D363" s="131"/>
      <c r="E363" s="131"/>
      <c r="F363" s="131"/>
      <c r="G363" s="14" t="s">
        <v>1168</v>
      </c>
      <c r="H363" s="24">
        <v>1.4</v>
      </c>
      <c r="I363" s="24">
        <v>0</v>
      </c>
      <c r="J363" s="24">
        <f>H363*AO363</f>
        <v>0</v>
      </c>
      <c r="K363" s="24">
        <f>H363*AP363</f>
        <v>0</v>
      </c>
      <c r="L363" s="24">
        <f>H363*I363</f>
        <v>0</v>
      </c>
      <c r="M363" s="24">
        <v>0</v>
      </c>
      <c r="N363" s="46">
        <f>H363*363</f>
        <v>508.2</v>
      </c>
      <c r="O363" s="5"/>
      <c r="Z363" s="37">
        <f>IF(AQ363="5",BJ363,0)</f>
        <v>0</v>
      </c>
      <c r="AB363" s="37">
        <f>IF(AQ363="1",BH363,0)</f>
        <v>0</v>
      </c>
      <c r="AC363" s="37">
        <f>IF(AQ363="1",BI363,0)</f>
        <v>0</v>
      </c>
      <c r="AD363" s="37">
        <f>IF(AQ363="7",BH363,0)</f>
        <v>0</v>
      </c>
      <c r="AE363" s="37">
        <f>IF(AQ363="7",BI363,0)</f>
        <v>0</v>
      </c>
      <c r="AF363" s="37">
        <f>IF(AQ363="2",BH363,0)</f>
        <v>0</v>
      </c>
      <c r="AG363" s="37">
        <f>IF(AQ363="2",BI363,0)</f>
        <v>0</v>
      </c>
      <c r="AH363" s="37">
        <f>IF(AQ363="0",BJ363,0)</f>
        <v>0</v>
      </c>
      <c r="AI363" s="35"/>
      <c r="AJ363" s="24">
        <f>IF(AN363=0,L363,0)</f>
        <v>0</v>
      </c>
      <c r="AK363" s="24">
        <f>IF(AN363=15,L363,0)</f>
        <v>0</v>
      </c>
      <c r="AL363" s="24">
        <f>IF(AN363=21,L363,0)</f>
        <v>0</v>
      </c>
      <c r="AN363" s="37">
        <v>21</v>
      </c>
      <c r="AO363" s="37">
        <f>I363*0</f>
        <v>0</v>
      </c>
      <c r="AP363" s="37">
        <f>I363*(1-0)</f>
        <v>0</v>
      </c>
      <c r="AQ363" s="38" t="s">
        <v>11</v>
      </c>
      <c r="AV363" s="37">
        <f>AW363+AX363</f>
        <v>0</v>
      </c>
      <c r="AW363" s="37">
        <f>H363*AO363</f>
        <v>0</v>
      </c>
      <c r="AX363" s="37">
        <f>H363*AP363</f>
        <v>0</v>
      </c>
      <c r="AY363" s="40" t="s">
        <v>1240</v>
      </c>
      <c r="AZ363" s="40" t="s">
        <v>1260</v>
      </c>
      <c r="BA363" s="35" t="s">
        <v>1262</v>
      </c>
      <c r="BC363" s="37">
        <f>AW363+AX363</f>
        <v>0</v>
      </c>
      <c r="BD363" s="37">
        <f>I363/(100-BE363)*100</f>
        <v>0</v>
      </c>
      <c r="BE363" s="37">
        <v>0</v>
      </c>
      <c r="BF363" s="37">
        <f>N363</f>
        <v>508.2</v>
      </c>
      <c r="BH363" s="24">
        <f>H363*AO363</f>
        <v>0</v>
      </c>
      <c r="BI363" s="24">
        <f>H363*AP363</f>
        <v>0</v>
      </c>
      <c r="BJ363" s="24">
        <f>H363*I363</f>
        <v>0</v>
      </c>
      <c r="BK363" s="24" t="s">
        <v>1267</v>
      </c>
      <c r="BL363" s="37" t="s">
        <v>606</v>
      </c>
    </row>
    <row r="364" spans="1:64" x14ac:dyDescent="0.25">
      <c r="A364" s="6"/>
      <c r="B364" s="15" t="s">
        <v>608</v>
      </c>
      <c r="C364" s="132" t="s">
        <v>884</v>
      </c>
      <c r="D364" s="133"/>
      <c r="E364" s="133"/>
      <c r="F364" s="133"/>
      <c r="G364" s="22" t="s">
        <v>6</v>
      </c>
      <c r="H364" s="22" t="s">
        <v>6</v>
      </c>
      <c r="I364" s="22" t="s">
        <v>6</v>
      </c>
      <c r="J364" s="43">
        <f>SUM(J365:J365)</f>
        <v>0</v>
      </c>
      <c r="K364" s="43">
        <f>SUM(K365:K365)</f>
        <v>0</v>
      </c>
      <c r="L364" s="43">
        <f>SUM(L365:L365)</f>
        <v>0</v>
      </c>
      <c r="M364" s="35"/>
      <c r="N364" s="47">
        <f>SUM(N365:N365)</f>
        <v>401.50000000000006</v>
      </c>
      <c r="O364" s="5"/>
      <c r="AI364" s="35"/>
      <c r="AS364" s="43">
        <f>SUM(AJ365:AJ365)</f>
        <v>0</v>
      </c>
      <c r="AT364" s="43">
        <f>SUM(AK365:AK365)</f>
        <v>0</v>
      </c>
      <c r="AU364" s="43">
        <f>SUM(AL365:AL365)</f>
        <v>0</v>
      </c>
    </row>
    <row r="365" spans="1:64" x14ac:dyDescent="0.25">
      <c r="A365" s="4" t="s">
        <v>260</v>
      </c>
      <c r="B365" s="14" t="s">
        <v>609</v>
      </c>
      <c r="C365" s="130" t="s">
        <v>1023</v>
      </c>
      <c r="D365" s="131"/>
      <c r="E365" s="131"/>
      <c r="F365" s="131"/>
      <c r="G365" s="14" t="s">
        <v>1168</v>
      </c>
      <c r="H365" s="24">
        <v>1.1000000000000001</v>
      </c>
      <c r="I365" s="24">
        <v>0</v>
      </c>
      <c r="J365" s="24">
        <f>H365*AO365</f>
        <v>0</v>
      </c>
      <c r="K365" s="24">
        <f>H365*AP365</f>
        <v>0</v>
      </c>
      <c r="L365" s="24">
        <f>H365*I365</f>
        <v>0</v>
      </c>
      <c r="M365" s="24">
        <v>0</v>
      </c>
      <c r="N365" s="46">
        <f>H365*365</f>
        <v>401.50000000000006</v>
      </c>
      <c r="O365" s="5"/>
      <c r="Z365" s="37">
        <f>IF(AQ365="5",BJ365,0)</f>
        <v>0</v>
      </c>
      <c r="AB365" s="37">
        <f>IF(AQ365="1",BH365,0)</f>
        <v>0</v>
      </c>
      <c r="AC365" s="37">
        <f>IF(AQ365="1",BI365,0)</f>
        <v>0</v>
      </c>
      <c r="AD365" s="37">
        <f>IF(AQ365="7",BH365,0)</f>
        <v>0</v>
      </c>
      <c r="AE365" s="37">
        <f>IF(AQ365="7",BI365,0)</f>
        <v>0</v>
      </c>
      <c r="AF365" s="37">
        <f>IF(AQ365="2",BH365,0)</f>
        <v>0</v>
      </c>
      <c r="AG365" s="37">
        <f>IF(AQ365="2",BI365,0)</f>
        <v>0</v>
      </c>
      <c r="AH365" s="37">
        <f>IF(AQ365="0",BJ365,0)</f>
        <v>0</v>
      </c>
      <c r="AI365" s="35"/>
      <c r="AJ365" s="24">
        <f>IF(AN365=0,L365,0)</f>
        <v>0</v>
      </c>
      <c r="AK365" s="24">
        <f>IF(AN365=15,L365,0)</f>
        <v>0</v>
      </c>
      <c r="AL365" s="24">
        <f>IF(AN365=21,L365,0)</f>
        <v>0</v>
      </c>
      <c r="AN365" s="37">
        <v>21</v>
      </c>
      <c r="AO365" s="37">
        <f>I365*0</f>
        <v>0</v>
      </c>
      <c r="AP365" s="37">
        <f>I365*(1-0)</f>
        <v>0</v>
      </c>
      <c r="AQ365" s="38" t="s">
        <v>11</v>
      </c>
      <c r="AV365" s="37">
        <f>AW365+AX365</f>
        <v>0</v>
      </c>
      <c r="AW365" s="37">
        <f>H365*AO365</f>
        <v>0</v>
      </c>
      <c r="AX365" s="37">
        <f>H365*AP365</f>
        <v>0</v>
      </c>
      <c r="AY365" s="40" t="s">
        <v>1241</v>
      </c>
      <c r="AZ365" s="40" t="s">
        <v>1260</v>
      </c>
      <c r="BA365" s="35" t="s">
        <v>1262</v>
      </c>
      <c r="BC365" s="37">
        <f>AW365+AX365</f>
        <v>0</v>
      </c>
      <c r="BD365" s="37">
        <f>I365/(100-BE365)*100</f>
        <v>0</v>
      </c>
      <c r="BE365" s="37">
        <v>0</v>
      </c>
      <c r="BF365" s="37">
        <f>N365</f>
        <v>401.50000000000006</v>
      </c>
      <c r="BH365" s="24">
        <f>H365*AO365</f>
        <v>0</v>
      </c>
      <c r="BI365" s="24">
        <f>H365*AP365</f>
        <v>0</v>
      </c>
      <c r="BJ365" s="24">
        <f>H365*I365</f>
        <v>0</v>
      </c>
      <c r="BK365" s="24" t="s">
        <v>1267</v>
      </c>
      <c r="BL365" s="37" t="s">
        <v>608</v>
      </c>
    </row>
    <row r="366" spans="1:64" x14ac:dyDescent="0.25">
      <c r="A366" s="6"/>
      <c r="B366" s="15" t="s">
        <v>610</v>
      </c>
      <c r="C366" s="132" t="s">
        <v>896</v>
      </c>
      <c r="D366" s="133"/>
      <c r="E366" s="133"/>
      <c r="F366" s="133"/>
      <c r="G366" s="22" t="s">
        <v>6</v>
      </c>
      <c r="H366" s="22" t="s">
        <v>6</v>
      </c>
      <c r="I366" s="22" t="s">
        <v>6</v>
      </c>
      <c r="J366" s="43">
        <f>SUM(J367:J367)</f>
        <v>0</v>
      </c>
      <c r="K366" s="43">
        <f>SUM(K367:K367)</f>
        <v>0</v>
      </c>
      <c r="L366" s="43">
        <f>SUM(L367:L367)</f>
        <v>0</v>
      </c>
      <c r="M366" s="35"/>
      <c r="N366" s="47">
        <f>SUM(N367:N367)</f>
        <v>73.400000000000006</v>
      </c>
      <c r="O366" s="5"/>
      <c r="AI366" s="35"/>
      <c r="AS366" s="43">
        <f>SUM(AJ367:AJ367)</f>
        <v>0</v>
      </c>
      <c r="AT366" s="43">
        <f>SUM(AK367:AK367)</f>
        <v>0</v>
      </c>
      <c r="AU366" s="43">
        <f>SUM(AL367:AL367)</f>
        <v>0</v>
      </c>
    </row>
    <row r="367" spans="1:64" x14ac:dyDescent="0.25">
      <c r="A367" s="4" t="s">
        <v>261</v>
      </c>
      <c r="B367" s="14" t="s">
        <v>611</v>
      </c>
      <c r="C367" s="130" t="s">
        <v>1024</v>
      </c>
      <c r="D367" s="131"/>
      <c r="E367" s="131"/>
      <c r="F367" s="131"/>
      <c r="G367" s="14" t="s">
        <v>1168</v>
      </c>
      <c r="H367" s="24">
        <v>0.2</v>
      </c>
      <c r="I367" s="24">
        <v>0</v>
      </c>
      <c r="J367" s="24">
        <f>H367*AO367</f>
        <v>0</v>
      </c>
      <c r="K367" s="24">
        <f>H367*AP367</f>
        <v>0</v>
      </c>
      <c r="L367" s="24">
        <f>H367*I367</f>
        <v>0</v>
      </c>
      <c r="M367" s="24">
        <v>0</v>
      </c>
      <c r="N367" s="46">
        <f>H367*367</f>
        <v>73.400000000000006</v>
      </c>
      <c r="O367" s="5"/>
      <c r="Z367" s="37">
        <f>IF(AQ367="5",BJ367,0)</f>
        <v>0</v>
      </c>
      <c r="AB367" s="37">
        <f>IF(AQ367="1",BH367,0)</f>
        <v>0</v>
      </c>
      <c r="AC367" s="37">
        <f>IF(AQ367="1",BI367,0)</f>
        <v>0</v>
      </c>
      <c r="AD367" s="37">
        <f>IF(AQ367="7",BH367,0)</f>
        <v>0</v>
      </c>
      <c r="AE367" s="37">
        <f>IF(AQ367="7",BI367,0)</f>
        <v>0</v>
      </c>
      <c r="AF367" s="37">
        <f>IF(AQ367="2",BH367,0)</f>
        <v>0</v>
      </c>
      <c r="AG367" s="37">
        <f>IF(AQ367="2",BI367,0)</f>
        <v>0</v>
      </c>
      <c r="AH367" s="37">
        <f>IF(AQ367="0",BJ367,0)</f>
        <v>0</v>
      </c>
      <c r="AI367" s="35"/>
      <c r="AJ367" s="24">
        <f>IF(AN367=0,L367,0)</f>
        <v>0</v>
      </c>
      <c r="AK367" s="24">
        <f>IF(AN367=15,L367,0)</f>
        <v>0</v>
      </c>
      <c r="AL367" s="24">
        <f>IF(AN367=21,L367,0)</f>
        <v>0</v>
      </c>
      <c r="AN367" s="37">
        <v>21</v>
      </c>
      <c r="AO367" s="37">
        <f>I367*0</f>
        <v>0</v>
      </c>
      <c r="AP367" s="37">
        <f>I367*(1-0)</f>
        <v>0</v>
      </c>
      <c r="AQ367" s="38" t="s">
        <v>11</v>
      </c>
      <c r="AV367" s="37">
        <f>AW367+AX367</f>
        <v>0</v>
      </c>
      <c r="AW367" s="37">
        <f>H367*AO367</f>
        <v>0</v>
      </c>
      <c r="AX367" s="37">
        <f>H367*AP367</f>
        <v>0</v>
      </c>
      <c r="AY367" s="40" t="s">
        <v>1242</v>
      </c>
      <c r="AZ367" s="40" t="s">
        <v>1260</v>
      </c>
      <c r="BA367" s="35" t="s">
        <v>1262</v>
      </c>
      <c r="BC367" s="37">
        <f>AW367+AX367</f>
        <v>0</v>
      </c>
      <c r="BD367" s="37">
        <f>I367/(100-BE367)*100</f>
        <v>0</v>
      </c>
      <c r="BE367" s="37">
        <v>0</v>
      </c>
      <c r="BF367" s="37">
        <f>N367</f>
        <v>73.400000000000006</v>
      </c>
      <c r="BH367" s="24">
        <f>H367*AO367</f>
        <v>0</v>
      </c>
      <c r="BI367" s="24">
        <f>H367*AP367</f>
        <v>0</v>
      </c>
      <c r="BJ367" s="24">
        <f>H367*I367</f>
        <v>0</v>
      </c>
      <c r="BK367" s="24" t="s">
        <v>1267</v>
      </c>
      <c r="BL367" s="37" t="s">
        <v>610</v>
      </c>
    </row>
    <row r="368" spans="1:64" x14ac:dyDescent="0.25">
      <c r="A368" s="6"/>
      <c r="B368" s="15" t="s">
        <v>612</v>
      </c>
      <c r="C368" s="132" t="s">
        <v>1025</v>
      </c>
      <c r="D368" s="133"/>
      <c r="E368" s="133"/>
      <c r="F368" s="133"/>
      <c r="G368" s="22" t="s">
        <v>6</v>
      </c>
      <c r="H368" s="22" t="s">
        <v>6</v>
      </c>
      <c r="I368" s="22" t="s">
        <v>6</v>
      </c>
      <c r="J368" s="43">
        <f>SUM(J369:J371)</f>
        <v>0</v>
      </c>
      <c r="K368" s="43">
        <f>SUM(K369:K371)</f>
        <v>0</v>
      </c>
      <c r="L368" s="43">
        <f>SUM(L369:L371)</f>
        <v>0</v>
      </c>
      <c r="M368" s="35"/>
      <c r="N368" s="47">
        <f>SUM(N369:N371)</f>
        <v>11568.3</v>
      </c>
      <c r="O368" s="5"/>
      <c r="AI368" s="35"/>
      <c r="AS368" s="43">
        <f>SUM(AJ369:AJ371)</f>
        <v>0</v>
      </c>
      <c r="AT368" s="43">
        <f>SUM(AK369:AK371)</f>
        <v>0</v>
      </c>
      <c r="AU368" s="43">
        <f>SUM(AL369:AL371)</f>
        <v>0</v>
      </c>
    </row>
    <row r="369" spans="1:64" x14ac:dyDescent="0.25">
      <c r="A369" s="4" t="s">
        <v>262</v>
      </c>
      <c r="B369" s="14" t="s">
        <v>613</v>
      </c>
      <c r="C369" s="130" t="s">
        <v>1026</v>
      </c>
      <c r="D369" s="131"/>
      <c r="E369" s="131"/>
      <c r="F369" s="131"/>
      <c r="G369" s="14" t="s">
        <v>1173</v>
      </c>
      <c r="H369" s="24">
        <v>16</v>
      </c>
      <c r="I369" s="24">
        <v>0</v>
      </c>
      <c r="J369" s="24">
        <f>H369*AO369</f>
        <v>0</v>
      </c>
      <c r="K369" s="24">
        <f>H369*AP369</f>
        <v>0</v>
      </c>
      <c r="L369" s="24">
        <f>H369*I369</f>
        <v>0</v>
      </c>
      <c r="M369" s="24">
        <v>0</v>
      </c>
      <c r="N369" s="46">
        <f>H369*369</f>
        <v>5904</v>
      </c>
      <c r="O369" s="5"/>
      <c r="Z369" s="37">
        <f>IF(AQ369="5",BJ369,0)</f>
        <v>0</v>
      </c>
      <c r="AB369" s="37">
        <f>IF(AQ369="1",BH369,0)</f>
        <v>0</v>
      </c>
      <c r="AC369" s="37">
        <f>IF(AQ369="1",BI369,0)</f>
        <v>0</v>
      </c>
      <c r="AD369" s="37">
        <f>IF(AQ369="7",BH369,0)</f>
        <v>0</v>
      </c>
      <c r="AE369" s="37">
        <f>IF(AQ369="7",BI369,0)</f>
        <v>0</v>
      </c>
      <c r="AF369" s="37">
        <f>IF(AQ369="2",BH369,0)</f>
        <v>0</v>
      </c>
      <c r="AG369" s="37">
        <f>IF(AQ369="2",BI369,0)</f>
        <v>0</v>
      </c>
      <c r="AH369" s="37">
        <f>IF(AQ369="0",BJ369,0)</f>
        <v>0</v>
      </c>
      <c r="AI369" s="35"/>
      <c r="AJ369" s="24">
        <f>IF(AN369=0,L369,0)</f>
        <v>0</v>
      </c>
      <c r="AK369" s="24">
        <f>IF(AN369=15,L369,0)</f>
        <v>0</v>
      </c>
      <c r="AL369" s="24">
        <f>IF(AN369=21,L369,0)</f>
        <v>0</v>
      </c>
      <c r="AN369" s="37">
        <v>21</v>
      </c>
      <c r="AO369" s="37">
        <f>I369*0</f>
        <v>0</v>
      </c>
      <c r="AP369" s="37">
        <f>I369*(1-0)</f>
        <v>0</v>
      </c>
      <c r="AQ369" s="38" t="s">
        <v>11</v>
      </c>
      <c r="AV369" s="37">
        <f>AW369+AX369</f>
        <v>0</v>
      </c>
      <c r="AW369" s="37">
        <f>H369*AO369</f>
        <v>0</v>
      </c>
      <c r="AX369" s="37">
        <f>H369*AP369</f>
        <v>0</v>
      </c>
      <c r="AY369" s="40" t="s">
        <v>1243</v>
      </c>
      <c r="AZ369" s="40" t="s">
        <v>1260</v>
      </c>
      <c r="BA369" s="35" t="s">
        <v>1262</v>
      </c>
      <c r="BC369" s="37">
        <f>AW369+AX369</f>
        <v>0</v>
      </c>
      <c r="BD369" s="37">
        <f>I369/(100-BE369)*100</f>
        <v>0</v>
      </c>
      <c r="BE369" s="37">
        <v>0</v>
      </c>
      <c r="BF369" s="37">
        <f>N369</f>
        <v>5904</v>
      </c>
      <c r="BH369" s="24">
        <f>H369*AO369</f>
        <v>0</v>
      </c>
      <c r="BI369" s="24">
        <f>H369*AP369</f>
        <v>0</v>
      </c>
      <c r="BJ369" s="24">
        <f>H369*I369</f>
        <v>0</v>
      </c>
      <c r="BK369" s="24" t="s">
        <v>1267</v>
      </c>
      <c r="BL369" s="37" t="s">
        <v>612</v>
      </c>
    </row>
    <row r="370" spans="1:64" x14ac:dyDescent="0.25">
      <c r="A370" s="4" t="s">
        <v>263</v>
      </c>
      <c r="B370" s="14" t="s">
        <v>614</v>
      </c>
      <c r="C370" s="130" t="s">
        <v>1027</v>
      </c>
      <c r="D370" s="131"/>
      <c r="E370" s="131"/>
      <c r="F370" s="131"/>
      <c r="G370" s="14" t="s">
        <v>1174</v>
      </c>
      <c r="H370" s="24">
        <v>12</v>
      </c>
      <c r="I370" s="24">
        <v>0</v>
      </c>
      <c r="J370" s="24">
        <f>H370*AO370</f>
        <v>0</v>
      </c>
      <c r="K370" s="24">
        <f>H370*AP370</f>
        <v>0</v>
      </c>
      <c r="L370" s="24">
        <f>H370*I370</f>
        <v>0</v>
      </c>
      <c r="M370" s="24">
        <v>0</v>
      </c>
      <c r="N370" s="46">
        <f>H370*370</f>
        <v>4440</v>
      </c>
      <c r="O370" s="5"/>
      <c r="Z370" s="37">
        <f>IF(AQ370="5",BJ370,0)</f>
        <v>0</v>
      </c>
      <c r="AB370" s="37">
        <f>IF(AQ370="1",BH370,0)</f>
        <v>0</v>
      </c>
      <c r="AC370" s="37">
        <f>IF(AQ370="1",BI370,0)</f>
        <v>0</v>
      </c>
      <c r="AD370" s="37">
        <f>IF(AQ370="7",BH370,0)</f>
        <v>0</v>
      </c>
      <c r="AE370" s="37">
        <f>IF(AQ370="7",BI370,0)</f>
        <v>0</v>
      </c>
      <c r="AF370" s="37">
        <f>IF(AQ370="2",BH370,0)</f>
        <v>0</v>
      </c>
      <c r="AG370" s="37">
        <f>IF(AQ370="2",BI370,0)</f>
        <v>0</v>
      </c>
      <c r="AH370" s="37">
        <f>IF(AQ370="0",BJ370,0)</f>
        <v>0</v>
      </c>
      <c r="AI370" s="35"/>
      <c r="AJ370" s="24">
        <f>IF(AN370=0,L370,0)</f>
        <v>0</v>
      </c>
      <c r="AK370" s="24">
        <f>IF(AN370=15,L370,0)</f>
        <v>0</v>
      </c>
      <c r="AL370" s="24">
        <f>IF(AN370=21,L370,0)</f>
        <v>0</v>
      </c>
      <c r="AN370" s="37">
        <v>21</v>
      </c>
      <c r="AO370" s="37">
        <f>I370*0</f>
        <v>0</v>
      </c>
      <c r="AP370" s="37">
        <f>I370*(1-0)</f>
        <v>0</v>
      </c>
      <c r="AQ370" s="38" t="s">
        <v>11</v>
      </c>
      <c r="AV370" s="37">
        <f>AW370+AX370</f>
        <v>0</v>
      </c>
      <c r="AW370" s="37">
        <f>H370*AO370</f>
        <v>0</v>
      </c>
      <c r="AX370" s="37">
        <f>H370*AP370</f>
        <v>0</v>
      </c>
      <c r="AY370" s="40" t="s">
        <v>1243</v>
      </c>
      <c r="AZ370" s="40" t="s">
        <v>1260</v>
      </c>
      <c r="BA370" s="35" t="s">
        <v>1262</v>
      </c>
      <c r="BC370" s="37">
        <f>AW370+AX370</f>
        <v>0</v>
      </c>
      <c r="BD370" s="37">
        <f>I370/(100-BE370)*100</f>
        <v>0</v>
      </c>
      <c r="BE370" s="37">
        <v>0</v>
      </c>
      <c r="BF370" s="37">
        <f>N370</f>
        <v>4440</v>
      </c>
      <c r="BH370" s="24">
        <f>H370*AO370</f>
        <v>0</v>
      </c>
      <c r="BI370" s="24">
        <f>H370*AP370</f>
        <v>0</v>
      </c>
      <c r="BJ370" s="24">
        <f>H370*I370</f>
        <v>0</v>
      </c>
      <c r="BK370" s="24" t="s">
        <v>1267</v>
      </c>
      <c r="BL370" s="37" t="s">
        <v>612</v>
      </c>
    </row>
    <row r="371" spans="1:64" x14ac:dyDescent="0.25">
      <c r="A371" s="4" t="s">
        <v>264</v>
      </c>
      <c r="B371" s="14" t="s">
        <v>615</v>
      </c>
      <c r="C371" s="130" t="s">
        <v>1028</v>
      </c>
      <c r="D371" s="131"/>
      <c r="E371" s="131"/>
      <c r="F371" s="131"/>
      <c r="G371" s="14" t="s">
        <v>1168</v>
      </c>
      <c r="H371" s="24">
        <v>3.3</v>
      </c>
      <c r="I371" s="24">
        <v>0</v>
      </c>
      <c r="J371" s="24">
        <f>H371*AO371</f>
        <v>0</v>
      </c>
      <c r="K371" s="24">
        <f>H371*AP371</f>
        <v>0</v>
      </c>
      <c r="L371" s="24">
        <f>H371*I371</f>
        <v>0</v>
      </c>
      <c r="M371" s="24">
        <v>0</v>
      </c>
      <c r="N371" s="46">
        <f>H371*371</f>
        <v>1224.3</v>
      </c>
      <c r="O371" s="5"/>
      <c r="Z371" s="37">
        <f>IF(AQ371="5",BJ371,0)</f>
        <v>0</v>
      </c>
      <c r="AB371" s="37">
        <f>IF(AQ371="1",BH371,0)</f>
        <v>0</v>
      </c>
      <c r="AC371" s="37">
        <f>IF(AQ371="1",BI371,0)</f>
        <v>0</v>
      </c>
      <c r="AD371" s="37">
        <f>IF(AQ371="7",BH371,0)</f>
        <v>0</v>
      </c>
      <c r="AE371" s="37">
        <f>IF(AQ371="7",BI371,0)</f>
        <v>0</v>
      </c>
      <c r="AF371" s="37">
        <f>IF(AQ371="2",BH371,0)</f>
        <v>0</v>
      </c>
      <c r="AG371" s="37">
        <f>IF(AQ371="2",BI371,0)</f>
        <v>0</v>
      </c>
      <c r="AH371" s="37">
        <f>IF(AQ371="0",BJ371,0)</f>
        <v>0</v>
      </c>
      <c r="AI371" s="35"/>
      <c r="AJ371" s="24">
        <f>IF(AN371=0,L371,0)</f>
        <v>0</v>
      </c>
      <c r="AK371" s="24">
        <f>IF(AN371=15,L371,0)</f>
        <v>0</v>
      </c>
      <c r="AL371" s="24">
        <f>IF(AN371=21,L371,0)</f>
        <v>0</v>
      </c>
      <c r="AN371" s="37">
        <v>21</v>
      </c>
      <c r="AO371" s="37">
        <f>I371*0</f>
        <v>0</v>
      </c>
      <c r="AP371" s="37">
        <f>I371*(1-0)</f>
        <v>0</v>
      </c>
      <c r="AQ371" s="38" t="s">
        <v>11</v>
      </c>
      <c r="AV371" s="37">
        <f>AW371+AX371</f>
        <v>0</v>
      </c>
      <c r="AW371" s="37">
        <f>H371*AO371</f>
        <v>0</v>
      </c>
      <c r="AX371" s="37">
        <f>H371*AP371</f>
        <v>0</v>
      </c>
      <c r="AY371" s="40" t="s">
        <v>1243</v>
      </c>
      <c r="AZ371" s="40" t="s">
        <v>1260</v>
      </c>
      <c r="BA371" s="35" t="s">
        <v>1262</v>
      </c>
      <c r="BC371" s="37">
        <f>AW371+AX371</f>
        <v>0</v>
      </c>
      <c r="BD371" s="37">
        <f>I371/(100-BE371)*100</f>
        <v>0</v>
      </c>
      <c r="BE371" s="37">
        <v>0</v>
      </c>
      <c r="BF371" s="37">
        <f>N371</f>
        <v>1224.3</v>
      </c>
      <c r="BH371" s="24">
        <f>H371*AO371</f>
        <v>0</v>
      </c>
      <c r="BI371" s="24">
        <f>H371*AP371</f>
        <v>0</v>
      </c>
      <c r="BJ371" s="24">
        <f>H371*I371</f>
        <v>0</v>
      </c>
      <c r="BK371" s="24" t="s">
        <v>1267</v>
      </c>
      <c r="BL371" s="37" t="s">
        <v>612</v>
      </c>
    </row>
    <row r="372" spans="1:64" x14ac:dyDescent="0.25">
      <c r="A372" s="6"/>
      <c r="B372" s="15" t="s">
        <v>616</v>
      </c>
      <c r="C372" s="132" t="s">
        <v>1029</v>
      </c>
      <c r="D372" s="133"/>
      <c r="E372" s="133"/>
      <c r="F372" s="133"/>
      <c r="G372" s="22" t="s">
        <v>6</v>
      </c>
      <c r="H372" s="22" t="s">
        <v>6</v>
      </c>
      <c r="I372" s="22" t="s">
        <v>6</v>
      </c>
      <c r="J372" s="43">
        <f>SUM(J373:J378)</f>
        <v>0</v>
      </c>
      <c r="K372" s="43">
        <f>SUM(K373:K378)</f>
        <v>0</v>
      </c>
      <c r="L372" s="43">
        <f>SUM(L373:L378)</f>
        <v>0</v>
      </c>
      <c r="M372" s="35"/>
      <c r="N372" s="47">
        <f>SUM(N373:N378)</f>
        <v>2626</v>
      </c>
      <c r="O372" s="5"/>
      <c r="AI372" s="35"/>
      <c r="AS372" s="43">
        <f>SUM(AJ373:AJ378)</f>
        <v>0</v>
      </c>
      <c r="AT372" s="43">
        <f>SUM(AK373:AK378)</f>
        <v>0</v>
      </c>
      <c r="AU372" s="43">
        <f>SUM(AL373:AL378)</f>
        <v>0</v>
      </c>
    </row>
    <row r="373" spans="1:64" x14ac:dyDescent="0.25">
      <c r="A373" s="4" t="s">
        <v>265</v>
      </c>
      <c r="B373" s="14" t="s">
        <v>617</v>
      </c>
      <c r="C373" s="130" t="s">
        <v>1030</v>
      </c>
      <c r="D373" s="131"/>
      <c r="E373" s="131"/>
      <c r="F373" s="131"/>
      <c r="G373" s="14" t="s">
        <v>1170</v>
      </c>
      <c r="H373" s="24">
        <v>2</v>
      </c>
      <c r="I373" s="24">
        <v>0</v>
      </c>
      <c r="J373" s="24">
        <f t="shared" ref="J373:J378" si="280">H373*AO373</f>
        <v>0</v>
      </c>
      <c r="K373" s="24">
        <f t="shared" ref="K373:K378" si="281">H373*AP373</f>
        <v>0</v>
      </c>
      <c r="L373" s="24">
        <f t="shared" ref="L373:L378" si="282">H373*I373</f>
        <v>0</v>
      </c>
      <c r="M373" s="24">
        <v>0</v>
      </c>
      <c r="N373" s="46">
        <f>H373*373</f>
        <v>746</v>
      </c>
      <c r="O373" s="5"/>
      <c r="Z373" s="37">
        <f t="shared" ref="Z373:Z378" si="283">IF(AQ373="5",BJ373,0)</f>
        <v>0</v>
      </c>
      <c r="AB373" s="37">
        <f t="shared" ref="AB373:AB378" si="284">IF(AQ373="1",BH373,0)</f>
        <v>0</v>
      </c>
      <c r="AC373" s="37">
        <f t="shared" ref="AC373:AC378" si="285">IF(AQ373="1",BI373,0)</f>
        <v>0</v>
      </c>
      <c r="AD373" s="37">
        <f t="shared" ref="AD373:AD378" si="286">IF(AQ373="7",BH373,0)</f>
        <v>0</v>
      </c>
      <c r="AE373" s="37">
        <f t="shared" ref="AE373:AE378" si="287">IF(AQ373="7",BI373,0)</f>
        <v>0</v>
      </c>
      <c r="AF373" s="37">
        <f t="shared" ref="AF373:AF378" si="288">IF(AQ373="2",BH373,0)</f>
        <v>0</v>
      </c>
      <c r="AG373" s="37">
        <f t="shared" ref="AG373:AG378" si="289">IF(AQ373="2",BI373,0)</f>
        <v>0</v>
      </c>
      <c r="AH373" s="37">
        <f t="shared" ref="AH373:AH378" si="290">IF(AQ373="0",BJ373,0)</f>
        <v>0</v>
      </c>
      <c r="AI373" s="35"/>
      <c r="AJ373" s="24">
        <f t="shared" ref="AJ373:AJ378" si="291">IF(AN373=0,L373,0)</f>
        <v>0</v>
      </c>
      <c r="AK373" s="24">
        <f t="shared" ref="AK373:AK378" si="292">IF(AN373=15,L373,0)</f>
        <v>0</v>
      </c>
      <c r="AL373" s="24">
        <f t="shared" ref="AL373:AL378" si="293">IF(AN373=21,L373,0)</f>
        <v>0</v>
      </c>
      <c r="AN373" s="37">
        <v>21</v>
      </c>
      <c r="AO373" s="37">
        <f t="shared" ref="AO373:AO378" si="294">I373*0</f>
        <v>0</v>
      </c>
      <c r="AP373" s="37">
        <f t="shared" ref="AP373:AP378" si="295">I373*(1-0)</f>
        <v>0</v>
      </c>
      <c r="AQ373" s="38" t="s">
        <v>8</v>
      </c>
      <c r="AV373" s="37">
        <f t="shared" ref="AV373:AV378" si="296">AW373+AX373</f>
        <v>0</v>
      </c>
      <c r="AW373" s="37">
        <f t="shared" ref="AW373:AW378" si="297">H373*AO373</f>
        <v>0</v>
      </c>
      <c r="AX373" s="37">
        <f t="shared" ref="AX373:AX378" si="298">H373*AP373</f>
        <v>0</v>
      </c>
      <c r="AY373" s="40" t="s">
        <v>1244</v>
      </c>
      <c r="AZ373" s="40" t="s">
        <v>1260</v>
      </c>
      <c r="BA373" s="35" t="s">
        <v>1262</v>
      </c>
      <c r="BC373" s="37">
        <f t="shared" ref="BC373:BC378" si="299">AW373+AX373</f>
        <v>0</v>
      </c>
      <c r="BD373" s="37">
        <f t="shared" ref="BD373:BD378" si="300">I373/(100-BE373)*100</f>
        <v>0</v>
      </c>
      <c r="BE373" s="37">
        <v>0</v>
      </c>
      <c r="BF373" s="37">
        <f t="shared" ref="BF373:BF378" si="301">N373</f>
        <v>746</v>
      </c>
      <c r="BH373" s="24">
        <f t="shared" ref="BH373:BH378" si="302">H373*AO373</f>
        <v>0</v>
      </c>
      <c r="BI373" s="24">
        <f t="shared" ref="BI373:BI378" si="303">H373*AP373</f>
        <v>0</v>
      </c>
      <c r="BJ373" s="24">
        <f t="shared" ref="BJ373:BJ378" si="304">H373*I373</f>
        <v>0</v>
      </c>
      <c r="BK373" s="24" t="s">
        <v>1267</v>
      </c>
      <c r="BL373" s="37" t="s">
        <v>616</v>
      </c>
    </row>
    <row r="374" spans="1:64" x14ac:dyDescent="0.25">
      <c r="A374" s="4" t="s">
        <v>266</v>
      </c>
      <c r="B374" s="14" t="s">
        <v>618</v>
      </c>
      <c r="C374" s="130" t="s">
        <v>1031</v>
      </c>
      <c r="D374" s="131"/>
      <c r="E374" s="131"/>
      <c r="F374" s="131"/>
      <c r="G374" s="14" t="s">
        <v>1170</v>
      </c>
      <c r="H374" s="24">
        <v>1</v>
      </c>
      <c r="I374" s="24">
        <v>0</v>
      </c>
      <c r="J374" s="24">
        <f t="shared" si="280"/>
        <v>0</v>
      </c>
      <c r="K374" s="24">
        <f t="shared" si="281"/>
        <v>0</v>
      </c>
      <c r="L374" s="24">
        <f t="shared" si="282"/>
        <v>0</v>
      </c>
      <c r="M374" s="24">
        <v>0</v>
      </c>
      <c r="N374" s="46">
        <f>H374*374</f>
        <v>374</v>
      </c>
      <c r="O374" s="5"/>
      <c r="Z374" s="37">
        <f t="shared" si="283"/>
        <v>0</v>
      </c>
      <c r="AB374" s="37">
        <f t="shared" si="284"/>
        <v>0</v>
      </c>
      <c r="AC374" s="37">
        <f t="shared" si="285"/>
        <v>0</v>
      </c>
      <c r="AD374" s="37">
        <f t="shared" si="286"/>
        <v>0</v>
      </c>
      <c r="AE374" s="37">
        <f t="shared" si="287"/>
        <v>0</v>
      </c>
      <c r="AF374" s="37">
        <f t="shared" si="288"/>
        <v>0</v>
      </c>
      <c r="AG374" s="37">
        <f t="shared" si="289"/>
        <v>0</v>
      </c>
      <c r="AH374" s="37">
        <f t="shared" si="290"/>
        <v>0</v>
      </c>
      <c r="AI374" s="35"/>
      <c r="AJ374" s="24">
        <f t="shared" si="291"/>
        <v>0</v>
      </c>
      <c r="AK374" s="24">
        <f t="shared" si="292"/>
        <v>0</v>
      </c>
      <c r="AL374" s="24">
        <f t="shared" si="293"/>
        <v>0</v>
      </c>
      <c r="AN374" s="37">
        <v>21</v>
      </c>
      <c r="AO374" s="37">
        <f t="shared" si="294"/>
        <v>0</v>
      </c>
      <c r="AP374" s="37">
        <f t="shared" si="295"/>
        <v>0</v>
      </c>
      <c r="AQ374" s="38" t="s">
        <v>8</v>
      </c>
      <c r="AV374" s="37">
        <f t="shared" si="296"/>
        <v>0</v>
      </c>
      <c r="AW374" s="37">
        <f t="shared" si="297"/>
        <v>0</v>
      </c>
      <c r="AX374" s="37">
        <f t="shared" si="298"/>
        <v>0</v>
      </c>
      <c r="AY374" s="40" t="s">
        <v>1244</v>
      </c>
      <c r="AZ374" s="40" t="s">
        <v>1260</v>
      </c>
      <c r="BA374" s="35" t="s">
        <v>1262</v>
      </c>
      <c r="BC374" s="37">
        <f t="shared" si="299"/>
        <v>0</v>
      </c>
      <c r="BD374" s="37">
        <f t="shared" si="300"/>
        <v>0</v>
      </c>
      <c r="BE374" s="37">
        <v>0</v>
      </c>
      <c r="BF374" s="37">
        <f t="shared" si="301"/>
        <v>374</v>
      </c>
      <c r="BH374" s="24">
        <f t="shared" si="302"/>
        <v>0</v>
      </c>
      <c r="BI374" s="24">
        <f t="shared" si="303"/>
        <v>0</v>
      </c>
      <c r="BJ374" s="24">
        <f t="shared" si="304"/>
        <v>0</v>
      </c>
      <c r="BK374" s="24" t="s">
        <v>1267</v>
      </c>
      <c r="BL374" s="37" t="s">
        <v>616</v>
      </c>
    </row>
    <row r="375" spans="1:64" x14ac:dyDescent="0.25">
      <c r="A375" s="4" t="s">
        <v>267</v>
      </c>
      <c r="B375" s="14" t="s">
        <v>619</v>
      </c>
      <c r="C375" s="130" t="s">
        <v>1032</v>
      </c>
      <c r="D375" s="131"/>
      <c r="E375" s="131"/>
      <c r="F375" s="131"/>
      <c r="G375" s="14" t="s">
        <v>1170</v>
      </c>
      <c r="H375" s="24">
        <v>1</v>
      </c>
      <c r="I375" s="24">
        <v>0</v>
      </c>
      <c r="J375" s="24">
        <f t="shared" si="280"/>
        <v>0</v>
      </c>
      <c r="K375" s="24">
        <f t="shared" si="281"/>
        <v>0</v>
      </c>
      <c r="L375" s="24">
        <f t="shared" si="282"/>
        <v>0</v>
      </c>
      <c r="M375" s="24">
        <v>0</v>
      </c>
      <c r="N375" s="46">
        <f>H375*375</f>
        <v>375</v>
      </c>
      <c r="O375" s="5"/>
      <c r="Z375" s="37">
        <f t="shared" si="283"/>
        <v>0</v>
      </c>
      <c r="AB375" s="37">
        <f t="shared" si="284"/>
        <v>0</v>
      </c>
      <c r="AC375" s="37">
        <f t="shared" si="285"/>
        <v>0</v>
      </c>
      <c r="AD375" s="37">
        <f t="shared" si="286"/>
        <v>0</v>
      </c>
      <c r="AE375" s="37">
        <f t="shared" si="287"/>
        <v>0</v>
      </c>
      <c r="AF375" s="37">
        <f t="shared" si="288"/>
        <v>0</v>
      </c>
      <c r="AG375" s="37">
        <f t="shared" si="289"/>
        <v>0</v>
      </c>
      <c r="AH375" s="37">
        <f t="shared" si="290"/>
        <v>0</v>
      </c>
      <c r="AI375" s="35"/>
      <c r="AJ375" s="24">
        <f t="shared" si="291"/>
        <v>0</v>
      </c>
      <c r="AK375" s="24">
        <f t="shared" si="292"/>
        <v>0</v>
      </c>
      <c r="AL375" s="24">
        <f t="shared" si="293"/>
        <v>0</v>
      </c>
      <c r="AN375" s="37">
        <v>21</v>
      </c>
      <c r="AO375" s="37">
        <f t="shared" si="294"/>
        <v>0</v>
      </c>
      <c r="AP375" s="37">
        <f t="shared" si="295"/>
        <v>0</v>
      </c>
      <c r="AQ375" s="38" t="s">
        <v>7</v>
      </c>
      <c r="AV375" s="37">
        <f t="shared" si="296"/>
        <v>0</v>
      </c>
      <c r="AW375" s="37">
        <f t="shared" si="297"/>
        <v>0</v>
      </c>
      <c r="AX375" s="37">
        <f t="shared" si="298"/>
        <v>0</v>
      </c>
      <c r="AY375" s="40" t="s">
        <v>1244</v>
      </c>
      <c r="AZ375" s="40" t="s">
        <v>1260</v>
      </c>
      <c r="BA375" s="35" t="s">
        <v>1262</v>
      </c>
      <c r="BC375" s="37">
        <f t="shared" si="299"/>
        <v>0</v>
      </c>
      <c r="BD375" s="37">
        <f t="shared" si="300"/>
        <v>0</v>
      </c>
      <c r="BE375" s="37">
        <v>0</v>
      </c>
      <c r="BF375" s="37">
        <f t="shared" si="301"/>
        <v>375</v>
      </c>
      <c r="BH375" s="24">
        <f t="shared" si="302"/>
        <v>0</v>
      </c>
      <c r="BI375" s="24">
        <f t="shared" si="303"/>
        <v>0</v>
      </c>
      <c r="BJ375" s="24">
        <f t="shared" si="304"/>
        <v>0</v>
      </c>
      <c r="BK375" s="24" t="s">
        <v>1267</v>
      </c>
      <c r="BL375" s="37" t="s">
        <v>616</v>
      </c>
    </row>
    <row r="376" spans="1:64" x14ac:dyDescent="0.25">
      <c r="A376" s="4" t="s">
        <v>268</v>
      </c>
      <c r="B376" s="14" t="s">
        <v>620</v>
      </c>
      <c r="C376" s="130" t="s">
        <v>1033</v>
      </c>
      <c r="D376" s="131"/>
      <c r="E376" s="131"/>
      <c r="F376" s="131"/>
      <c r="G376" s="14" t="s">
        <v>1170</v>
      </c>
      <c r="H376" s="24">
        <v>1</v>
      </c>
      <c r="I376" s="24">
        <v>0</v>
      </c>
      <c r="J376" s="24">
        <f t="shared" si="280"/>
        <v>0</v>
      </c>
      <c r="K376" s="24">
        <f t="shared" si="281"/>
        <v>0</v>
      </c>
      <c r="L376" s="24">
        <f t="shared" si="282"/>
        <v>0</v>
      </c>
      <c r="M376" s="24">
        <v>0</v>
      </c>
      <c r="N376" s="46">
        <f>H376*376</f>
        <v>376</v>
      </c>
      <c r="O376" s="5"/>
      <c r="Z376" s="37">
        <f t="shared" si="283"/>
        <v>0</v>
      </c>
      <c r="AB376" s="37">
        <f t="shared" si="284"/>
        <v>0</v>
      </c>
      <c r="AC376" s="37">
        <f t="shared" si="285"/>
        <v>0</v>
      </c>
      <c r="AD376" s="37">
        <f t="shared" si="286"/>
        <v>0</v>
      </c>
      <c r="AE376" s="37">
        <f t="shared" si="287"/>
        <v>0</v>
      </c>
      <c r="AF376" s="37">
        <f t="shared" si="288"/>
        <v>0</v>
      </c>
      <c r="AG376" s="37">
        <f t="shared" si="289"/>
        <v>0</v>
      </c>
      <c r="AH376" s="37">
        <f t="shared" si="290"/>
        <v>0</v>
      </c>
      <c r="AI376" s="35"/>
      <c r="AJ376" s="24">
        <f t="shared" si="291"/>
        <v>0</v>
      </c>
      <c r="AK376" s="24">
        <f t="shared" si="292"/>
        <v>0</v>
      </c>
      <c r="AL376" s="24">
        <f t="shared" si="293"/>
        <v>0</v>
      </c>
      <c r="AN376" s="37">
        <v>21</v>
      </c>
      <c r="AO376" s="37">
        <f t="shared" si="294"/>
        <v>0</v>
      </c>
      <c r="AP376" s="37">
        <f t="shared" si="295"/>
        <v>0</v>
      </c>
      <c r="AQ376" s="38" t="s">
        <v>7</v>
      </c>
      <c r="AV376" s="37">
        <f t="shared" si="296"/>
        <v>0</v>
      </c>
      <c r="AW376" s="37">
        <f t="shared" si="297"/>
        <v>0</v>
      </c>
      <c r="AX376" s="37">
        <f t="shared" si="298"/>
        <v>0</v>
      </c>
      <c r="AY376" s="40" t="s">
        <v>1244</v>
      </c>
      <c r="AZ376" s="40" t="s">
        <v>1260</v>
      </c>
      <c r="BA376" s="35" t="s">
        <v>1262</v>
      </c>
      <c r="BC376" s="37">
        <f t="shared" si="299"/>
        <v>0</v>
      </c>
      <c r="BD376" s="37">
        <f t="shared" si="300"/>
        <v>0</v>
      </c>
      <c r="BE376" s="37">
        <v>0</v>
      </c>
      <c r="BF376" s="37">
        <f t="shared" si="301"/>
        <v>376</v>
      </c>
      <c r="BH376" s="24">
        <f t="shared" si="302"/>
        <v>0</v>
      </c>
      <c r="BI376" s="24">
        <f t="shared" si="303"/>
        <v>0</v>
      </c>
      <c r="BJ376" s="24">
        <f t="shared" si="304"/>
        <v>0</v>
      </c>
      <c r="BK376" s="24" t="s">
        <v>1267</v>
      </c>
      <c r="BL376" s="37" t="s">
        <v>616</v>
      </c>
    </row>
    <row r="377" spans="1:64" x14ac:dyDescent="0.25">
      <c r="A377" s="4" t="s">
        <v>269</v>
      </c>
      <c r="B377" s="14" t="s">
        <v>621</v>
      </c>
      <c r="C377" s="130" t="s">
        <v>1034</v>
      </c>
      <c r="D377" s="131"/>
      <c r="E377" s="131"/>
      <c r="F377" s="131"/>
      <c r="G377" s="14" t="s">
        <v>1170</v>
      </c>
      <c r="H377" s="24">
        <v>1</v>
      </c>
      <c r="I377" s="24">
        <v>0</v>
      </c>
      <c r="J377" s="24">
        <f t="shared" si="280"/>
        <v>0</v>
      </c>
      <c r="K377" s="24">
        <f t="shared" si="281"/>
        <v>0</v>
      </c>
      <c r="L377" s="24">
        <f t="shared" si="282"/>
        <v>0</v>
      </c>
      <c r="M377" s="24">
        <v>0</v>
      </c>
      <c r="N377" s="46">
        <f>H377*377</f>
        <v>377</v>
      </c>
      <c r="O377" s="5"/>
      <c r="Z377" s="37">
        <f t="shared" si="283"/>
        <v>0</v>
      </c>
      <c r="AB377" s="37">
        <f t="shared" si="284"/>
        <v>0</v>
      </c>
      <c r="AC377" s="37">
        <f t="shared" si="285"/>
        <v>0</v>
      </c>
      <c r="AD377" s="37">
        <f t="shared" si="286"/>
        <v>0</v>
      </c>
      <c r="AE377" s="37">
        <f t="shared" si="287"/>
        <v>0</v>
      </c>
      <c r="AF377" s="37">
        <f t="shared" si="288"/>
        <v>0</v>
      </c>
      <c r="AG377" s="37">
        <f t="shared" si="289"/>
        <v>0</v>
      </c>
      <c r="AH377" s="37">
        <f t="shared" si="290"/>
        <v>0</v>
      </c>
      <c r="AI377" s="35"/>
      <c r="AJ377" s="24">
        <f t="shared" si="291"/>
        <v>0</v>
      </c>
      <c r="AK377" s="24">
        <f t="shared" si="292"/>
        <v>0</v>
      </c>
      <c r="AL377" s="24">
        <f t="shared" si="293"/>
        <v>0</v>
      </c>
      <c r="AN377" s="37">
        <v>21</v>
      </c>
      <c r="AO377" s="37">
        <f t="shared" si="294"/>
        <v>0</v>
      </c>
      <c r="AP377" s="37">
        <f t="shared" si="295"/>
        <v>0</v>
      </c>
      <c r="AQ377" s="38" t="s">
        <v>8</v>
      </c>
      <c r="AV377" s="37">
        <f t="shared" si="296"/>
        <v>0</v>
      </c>
      <c r="AW377" s="37">
        <f t="shared" si="297"/>
        <v>0</v>
      </c>
      <c r="AX377" s="37">
        <f t="shared" si="298"/>
        <v>0</v>
      </c>
      <c r="AY377" s="40" t="s">
        <v>1244</v>
      </c>
      <c r="AZ377" s="40" t="s">
        <v>1260</v>
      </c>
      <c r="BA377" s="35" t="s">
        <v>1262</v>
      </c>
      <c r="BC377" s="37">
        <f t="shared" si="299"/>
        <v>0</v>
      </c>
      <c r="BD377" s="37">
        <f t="shared" si="300"/>
        <v>0</v>
      </c>
      <c r="BE377" s="37">
        <v>0</v>
      </c>
      <c r="BF377" s="37">
        <f t="shared" si="301"/>
        <v>377</v>
      </c>
      <c r="BH377" s="24">
        <f t="shared" si="302"/>
        <v>0</v>
      </c>
      <c r="BI377" s="24">
        <f t="shared" si="303"/>
        <v>0</v>
      </c>
      <c r="BJ377" s="24">
        <f t="shared" si="304"/>
        <v>0</v>
      </c>
      <c r="BK377" s="24" t="s">
        <v>1267</v>
      </c>
      <c r="BL377" s="37" t="s">
        <v>616</v>
      </c>
    </row>
    <row r="378" spans="1:64" x14ac:dyDescent="0.25">
      <c r="A378" s="4" t="s">
        <v>270</v>
      </c>
      <c r="B378" s="14" t="s">
        <v>622</v>
      </c>
      <c r="C378" s="130" t="s">
        <v>1035</v>
      </c>
      <c r="D378" s="131"/>
      <c r="E378" s="131"/>
      <c r="F378" s="131"/>
      <c r="G378" s="14" t="s">
        <v>1170</v>
      </c>
      <c r="H378" s="24">
        <v>1</v>
      </c>
      <c r="I378" s="24">
        <v>0</v>
      </c>
      <c r="J378" s="24">
        <f t="shared" si="280"/>
        <v>0</v>
      </c>
      <c r="K378" s="24">
        <f t="shared" si="281"/>
        <v>0</v>
      </c>
      <c r="L378" s="24">
        <f t="shared" si="282"/>
        <v>0</v>
      </c>
      <c r="M378" s="24">
        <v>0</v>
      </c>
      <c r="N378" s="46">
        <f>H378*378</f>
        <v>378</v>
      </c>
      <c r="O378" s="5"/>
      <c r="Z378" s="37">
        <f t="shared" si="283"/>
        <v>0</v>
      </c>
      <c r="AB378" s="37">
        <f t="shared" si="284"/>
        <v>0</v>
      </c>
      <c r="AC378" s="37">
        <f t="shared" si="285"/>
        <v>0</v>
      </c>
      <c r="AD378" s="37">
        <f t="shared" si="286"/>
        <v>0</v>
      </c>
      <c r="AE378" s="37">
        <f t="shared" si="287"/>
        <v>0</v>
      </c>
      <c r="AF378" s="37">
        <f t="shared" si="288"/>
        <v>0</v>
      </c>
      <c r="AG378" s="37">
        <f t="shared" si="289"/>
        <v>0</v>
      </c>
      <c r="AH378" s="37">
        <f t="shared" si="290"/>
        <v>0</v>
      </c>
      <c r="AI378" s="35"/>
      <c r="AJ378" s="24">
        <f t="shared" si="291"/>
        <v>0</v>
      </c>
      <c r="AK378" s="24">
        <f t="shared" si="292"/>
        <v>0</v>
      </c>
      <c r="AL378" s="24">
        <f t="shared" si="293"/>
        <v>0</v>
      </c>
      <c r="AN378" s="37">
        <v>21</v>
      </c>
      <c r="AO378" s="37">
        <f t="shared" si="294"/>
        <v>0</v>
      </c>
      <c r="AP378" s="37">
        <f t="shared" si="295"/>
        <v>0</v>
      </c>
      <c r="AQ378" s="38" t="s">
        <v>7</v>
      </c>
      <c r="AV378" s="37">
        <f t="shared" si="296"/>
        <v>0</v>
      </c>
      <c r="AW378" s="37">
        <f t="shared" si="297"/>
        <v>0</v>
      </c>
      <c r="AX378" s="37">
        <f t="shared" si="298"/>
        <v>0</v>
      </c>
      <c r="AY378" s="40" t="s">
        <v>1244</v>
      </c>
      <c r="AZ378" s="40" t="s">
        <v>1260</v>
      </c>
      <c r="BA378" s="35" t="s">
        <v>1262</v>
      </c>
      <c r="BC378" s="37">
        <f t="shared" si="299"/>
        <v>0</v>
      </c>
      <c r="BD378" s="37">
        <f t="shared" si="300"/>
        <v>0</v>
      </c>
      <c r="BE378" s="37">
        <v>0</v>
      </c>
      <c r="BF378" s="37">
        <f t="shared" si="301"/>
        <v>378</v>
      </c>
      <c r="BH378" s="24">
        <f t="shared" si="302"/>
        <v>0</v>
      </c>
      <c r="BI378" s="24">
        <f t="shared" si="303"/>
        <v>0</v>
      </c>
      <c r="BJ378" s="24">
        <f t="shared" si="304"/>
        <v>0</v>
      </c>
      <c r="BK378" s="24" t="s">
        <v>1267</v>
      </c>
      <c r="BL378" s="37" t="s">
        <v>616</v>
      </c>
    </row>
    <row r="379" spans="1:64" x14ac:dyDescent="0.25">
      <c r="A379" s="6"/>
      <c r="B379" s="15" t="s">
        <v>623</v>
      </c>
      <c r="C379" s="132" t="s">
        <v>1036</v>
      </c>
      <c r="D379" s="133"/>
      <c r="E379" s="133"/>
      <c r="F379" s="133"/>
      <c r="G379" s="22" t="s">
        <v>6</v>
      </c>
      <c r="H379" s="22" t="s">
        <v>6</v>
      </c>
      <c r="I379" s="22" t="s">
        <v>6</v>
      </c>
      <c r="J379" s="43">
        <f>SUM(J380:J418)</f>
        <v>0</v>
      </c>
      <c r="K379" s="43">
        <f>SUM(K380:K418)</f>
        <v>0</v>
      </c>
      <c r="L379" s="43">
        <f>SUM(L380:L418)</f>
        <v>0</v>
      </c>
      <c r="M379" s="35"/>
      <c r="N379" s="47">
        <f>SUM(N380:N418)</f>
        <v>151893</v>
      </c>
      <c r="O379" s="5"/>
      <c r="AI379" s="35"/>
      <c r="AS379" s="43">
        <f>SUM(AJ380:AJ418)</f>
        <v>0</v>
      </c>
      <c r="AT379" s="43">
        <f>SUM(AK380:AK418)</f>
        <v>0</v>
      </c>
      <c r="AU379" s="43">
        <f>SUM(AL380:AL418)</f>
        <v>0</v>
      </c>
    </row>
    <row r="380" spans="1:64" x14ac:dyDescent="0.25">
      <c r="A380" s="4" t="s">
        <v>271</v>
      </c>
      <c r="B380" s="14" t="s">
        <v>624</v>
      </c>
      <c r="C380" s="130" t="s">
        <v>1037</v>
      </c>
      <c r="D380" s="131"/>
      <c r="E380" s="131"/>
      <c r="F380" s="131"/>
      <c r="G380" s="14" t="s">
        <v>1165</v>
      </c>
      <c r="H380" s="24">
        <v>3</v>
      </c>
      <c r="I380" s="24">
        <v>0</v>
      </c>
      <c r="J380" s="24">
        <f t="shared" ref="J380:J399" si="305">H380*AO380</f>
        <v>0</v>
      </c>
      <c r="K380" s="24">
        <f t="shared" ref="K380:K399" si="306">H380*AP380</f>
        <v>0</v>
      </c>
      <c r="L380" s="24">
        <f t="shared" ref="L380:L399" si="307">H380*I380</f>
        <v>0</v>
      </c>
      <c r="M380" s="24">
        <v>1.0499999999999999E-3</v>
      </c>
      <c r="N380" s="46">
        <f>H380*380</f>
        <v>1140</v>
      </c>
      <c r="O380" s="5"/>
      <c r="Z380" s="37">
        <f t="shared" ref="Z380:Z399" si="308">IF(AQ380="5",BJ380,0)</f>
        <v>0</v>
      </c>
      <c r="AB380" s="37">
        <f t="shared" ref="AB380:AB399" si="309">IF(AQ380="1",BH380,0)</f>
        <v>0</v>
      </c>
      <c r="AC380" s="37">
        <f t="shared" ref="AC380:AC399" si="310">IF(AQ380="1",BI380,0)</f>
        <v>0</v>
      </c>
      <c r="AD380" s="37">
        <f t="shared" ref="AD380:AD399" si="311">IF(AQ380="7",BH380,0)</f>
        <v>0</v>
      </c>
      <c r="AE380" s="37">
        <f t="shared" ref="AE380:AE399" si="312">IF(AQ380="7",BI380,0)</f>
        <v>0</v>
      </c>
      <c r="AF380" s="37">
        <f t="shared" ref="AF380:AF399" si="313">IF(AQ380="2",BH380,0)</f>
        <v>0</v>
      </c>
      <c r="AG380" s="37">
        <f t="shared" ref="AG380:AG399" si="314">IF(AQ380="2",BI380,0)</f>
        <v>0</v>
      </c>
      <c r="AH380" s="37">
        <f t="shared" ref="AH380:AH399" si="315">IF(AQ380="0",BJ380,0)</f>
        <v>0</v>
      </c>
      <c r="AI380" s="35"/>
      <c r="AJ380" s="24">
        <f t="shared" ref="AJ380:AJ399" si="316">IF(AN380=0,L380,0)</f>
        <v>0</v>
      </c>
      <c r="AK380" s="24">
        <f t="shared" ref="AK380:AK399" si="317">IF(AN380=15,L380,0)</f>
        <v>0</v>
      </c>
      <c r="AL380" s="24">
        <f t="shared" ref="AL380:AL399" si="318">IF(AN380=21,L380,0)</f>
        <v>0</v>
      </c>
      <c r="AN380" s="37">
        <v>21</v>
      </c>
      <c r="AO380" s="37">
        <f>I380*0.390344827586207</f>
        <v>0</v>
      </c>
      <c r="AP380" s="37">
        <f>I380*(1-0.390344827586207)</f>
        <v>0</v>
      </c>
      <c r="AQ380" s="38" t="s">
        <v>8</v>
      </c>
      <c r="AV380" s="37">
        <f t="shared" ref="AV380:AV399" si="319">AW380+AX380</f>
        <v>0</v>
      </c>
      <c r="AW380" s="37">
        <f t="shared" ref="AW380:AW399" si="320">H380*AO380</f>
        <v>0</v>
      </c>
      <c r="AX380" s="37">
        <f t="shared" ref="AX380:AX399" si="321">H380*AP380</f>
        <v>0</v>
      </c>
      <c r="AY380" s="40" t="s">
        <v>1245</v>
      </c>
      <c r="AZ380" s="40" t="s">
        <v>1260</v>
      </c>
      <c r="BA380" s="35" t="s">
        <v>1262</v>
      </c>
      <c r="BC380" s="37">
        <f t="shared" ref="BC380:BC399" si="322">AW380+AX380</f>
        <v>0</v>
      </c>
      <c r="BD380" s="37">
        <f t="shared" ref="BD380:BD399" si="323">I380/(100-BE380)*100</f>
        <v>0</v>
      </c>
      <c r="BE380" s="37">
        <v>0</v>
      </c>
      <c r="BF380" s="37">
        <f t="shared" ref="BF380:BF399" si="324">N380</f>
        <v>1140</v>
      </c>
      <c r="BH380" s="24">
        <f t="shared" ref="BH380:BH399" si="325">H380*AO380</f>
        <v>0</v>
      </c>
      <c r="BI380" s="24">
        <f t="shared" ref="BI380:BI399" si="326">H380*AP380</f>
        <v>0</v>
      </c>
      <c r="BJ380" s="24">
        <f t="shared" ref="BJ380:BJ399" si="327">H380*I380</f>
        <v>0</v>
      </c>
      <c r="BK380" s="24" t="s">
        <v>1267</v>
      </c>
      <c r="BL380" s="37" t="s">
        <v>623</v>
      </c>
    </row>
    <row r="381" spans="1:64" x14ac:dyDescent="0.25">
      <c r="A381" s="4" t="s">
        <v>272</v>
      </c>
      <c r="B381" s="14" t="s">
        <v>625</v>
      </c>
      <c r="C381" s="130" t="s">
        <v>1038</v>
      </c>
      <c r="D381" s="131"/>
      <c r="E381" s="131"/>
      <c r="F381" s="131"/>
      <c r="G381" s="14" t="s">
        <v>1165</v>
      </c>
      <c r="H381" s="24">
        <v>16</v>
      </c>
      <c r="I381" s="24">
        <v>0</v>
      </c>
      <c r="J381" s="24">
        <f t="shared" si="305"/>
        <v>0</v>
      </c>
      <c r="K381" s="24">
        <f t="shared" si="306"/>
        <v>0</v>
      </c>
      <c r="L381" s="24">
        <f t="shared" si="307"/>
        <v>0</v>
      </c>
      <c r="M381" s="24">
        <v>1.0499999999999999E-3</v>
      </c>
      <c r="N381" s="46">
        <f>H381*381</f>
        <v>6096</v>
      </c>
      <c r="O381" s="5"/>
      <c r="Z381" s="37">
        <f t="shared" si="308"/>
        <v>0</v>
      </c>
      <c r="AB381" s="37">
        <f t="shared" si="309"/>
        <v>0</v>
      </c>
      <c r="AC381" s="37">
        <f t="shared" si="310"/>
        <v>0</v>
      </c>
      <c r="AD381" s="37">
        <f t="shared" si="311"/>
        <v>0</v>
      </c>
      <c r="AE381" s="37">
        <f t="shared" si="312"/>
        <v>0</v>
      </c>
      <c r="AF381" s="37">
        <f t="shared" si="313"/>
        <v>0</v>
      </c>
      <c r="AG381" s="37">
        <f t="shared" si="314"/>
        <v>0</v>
      </c>
      <c r="AH381" s="37">
        <f t="shared" si="315"/>
        <v>0</v>
      </c>
      <c r="AI381" s="35"/>
      <c r="AJ381" s="24">
        <f t="shared" si="316"/>
        <v>0</v>
      </c>
      <c r="AK381" s="24">
        <f t="shared" si="317"/>
        <v>0</v>
      </c>
      <c r="AL381" s="24">
        <f t="shared" si="318"/>
        <v>0</v>
      </c>
      <c r="AN381" s="37">
        <v>21</v>
      </c>
      <c r="AO381" s="37">
        <f>I381*0.417490774907749</f>
        <v>0</v>
      </c>
      <c r="AP381" s="37">
        <f>I381*(1-0.417490774907749)</f>
        <v>0</v>
      </c>
      <c r="AQ381" s="38" t="s">
        <v>8</v>
      </c>
      <c r="AV381" s="37">
        <f t="shared" si="319"/>
        <v>0</v>
      </c>
      <c r="AW381" s="37">
        <f t="shared" si="320"/>
        <v>0</v>
      </c>
      <c r="AX381" s="37">
        <f t="shared" si="321"/>
        <v>0</v>
      </c>
      <c r="AY381" s="40" t="s">
        <v>1245</v>
      </c>
      <c r="AZ381" s="40" t="s">
        <v>1260</v>
      </c>
      <c r="BA381" s="35" t="s">
        <v>1262</v>
      </c>
      <c r="BC381" s="37">
        <f t="shared" si="322"/>
        <v>0</v>
      </c>
      <c r="BD381" s="37">
        <f t="shared" si="323"/>
        <v>0</v>
      </c>
      <c r="BE381" s="37">
        <v>0</v>
      </c>
      <c r="BF381" s="37">
        <f t="shared" si="324"/>
        <v>6096</v>
      </c>
      <c r="BH381" s="24">
        <f t="shared" si="325"/>
        <v>0</v>
      </c>
      <c r="BI381" s="24">
        <f t="shared" si="326"/>
        <v>0</v>
      </c>
      <c r="BJ381" s="24">
        <f t="shared" si="327"/>
        <v>0</v>
      </c>
      <c r="BK381" s="24" t="s">
        <v>1267</v>
      </c>
      <c r="BL381" s="37" t="s">
        <v>623</v>
      </c>
    </row>
    <row r="382" spans="1:64" x14ac:dyDescent="0.25">
      <c r="A382" s="4" t="s">
        <v>273</v>
      </c>
      <c r="B382" s="14" t="s">
        <v>626</v>
      </c>
      <c r="C382" s="130" t="s">
        <v>1039</v>
      </c>
      <c r="D382" s="131"/>
      <c r="E382" s="131"/>
      <c r="F382" s="131"/>
      <c r="G382" s="14" t="s">
        <v>1170</v>
      </c>
      <c r="H382" s="24">
        <v>3</v>
      </c>
      <c r="I382" s="24">
        <v>0</v>
      </c>
      <c r="J382" s="24">
        <f t="shared" si="305"/>
        <v>0</v>
      </c>
      <c r="K382" s="24">
        <f t="shared" si="306"/>
        <v>0</v>
      </c>
      <c r="L382" s="24">
        <f t="shared" si="307"/>
        <v>0</v>
      </c>
      <c r="M382" s="24">
        <v>7.77E-3</v>
      </c>
      <c r="N382" s="46">
        <f>H382*382</f>
        <v>1146</v>
      </c>
      <c r="O382" s="5"/>
      <c r="Z382" s="37">
        <f t="shared" si="308"/>
        <v>0</v>
      </c>
      <c r="AB382" s="37">
        <f t="shared" si="309"/>
        <v>0</v>
      </c>
      <c r="AC382" s="37">
        <f t="shared" si="310"/>
        <v>0</v>
      </c>
      <c r="AD382" s="37">
        <f t="shared" si="311"/>
        <v>0</v>
      </c>
      <c r="AE382" s="37">
        <f t="shared" si="312"/>
        <v>0</v>
      </c>
      <c r="AF382" s="37">
        <f t="shared" si="313"/>
        <v>0</v>
      </c>
      <c r="AG382" s="37">
        <f t="shared" si="314"/>
        <v>0</v>
      </c>
      <c r="AH382" s="37">
        <f t="shared" si="315"/>
        <v>0</v>
      </c>
      <c r="AI382" s="35"/>
      <c r="AJ382" s="24">
        <f t="shared" si="316"/>
        <v>0</v>
      </c>
      <c r="AK382" s="24">
        <f t="shared" si="317"/>
        <v>0</v>
      </c>
      <c r="AL382" s="24">
        <f t="shared" si="318"/>
        <v>0</v>
      </c>
      <c r="AN382" s="37">
        <v>21</v>
      </c>
      <c r="AO382" s="37">
        <f>I382*0.433151658767773</f>
        <v>0</v>
      </c>
      <c r="AP382" s="37">
        <f>I382*(1-0.433151658767773)</f>
        <v>0</v>
      </c>
      <c r="AQ382" s="38" t="s">
        <v>8</v>
      </c>
      <c r="AV382" s="37">
        <f t="shared" si="319"/>
        <v>0</v>
      </c>
      <c r="AW382" s="37">
        <f t="shared" si="320"/>
        <v>0</v>
      </c>
      <c r="AX382" s="37">
        <f t="shared" si="321"/>
        <v>0</v>
      </c>
      <c r="AY382" s="40" t="s">
        <v>1245</v>
      </c>
      <c r="AZ382" s="40" t="s">
        <v>1260</v>
      </c>
      <c r="BA382" s="35" t="s">
        <v>1262</v>
      </c>
      <c r="BC382" s="37">
        <f t="shared" si="322"/>
        <v>0</v>
      </c>
      <c r="BD382" s="37">
        <f t="shared" si="323"/>
        <v>0</v>
      </c>
      <c r="BE382" s="37">
        <v>0</v>
      </c>
      <c r="BF382" s="37">
        <f t="shared" si="324"/>
        <v>1146</v>
      </c>
      <c r="BH382" s="24">
        <f t="shared" si="325"/>
        <v>0</v>
      </c>
      <c r="BI382" s="24">
        <f t="shared" si="326"/>
        <v>0</v>
      </c>
      <c r="BJ382" s="24">
        <f t="shared" si="327"/>
        <v>0</v>
      </c>
      <c r="BK382" s="24" t="s">
        <v>1267</v>
      </c>
      <c r="BL382" s="37" t="s">
        <v>623</v>
      </c>
    </row>
    <row r="383" spans="1:64" x14ac:dyDescent="0.25">
      <c r="A383" s="4" t="s">
        <v>274</v>
      </c>
      <c r="B383" s="14" t="s">
        <v>626</v>
      </c>
      <c r="C383" s="130" t="s">
        <v>1040</v>
      </c>
      <c r="D383" s="131"/>
      <c r="E383" s="131"/>
      <c r="F383" s="131"/>
      <c r="G383" s="14" t="s">
        <v>1170</v>
      </c>
      <c r="H383" s="24">
        <v>1</v>
      </c>
      <c r="I383" s="24">
        <v>0</v>
      </c>
      <c r="J383" s="24">
        <f t="shared" si="305"/>
        <v>0</v>
      </c>
      <c r="K383" s="24">
        <f t="shared" si="306"/>
        <v>0</v>
      </c>
      <c r="L383" s="24">
        <f t="shared" si="307"/>
        <v>0</v>
      </c>
      <c r="M383" s="24">
        <v>7.77E-3</v>
      </c>
      <c r="N383" s="46">
        <f>H383*383</f>
        <v>383</v>
      </c>
      <c r="O383" s="5"/>
      <c r="Z383" s="37">
        <f t="shared" si="308"/>
        <v>0</v>
      </c>
      <c r="AB383" s="37">
        <f t="shared" si="309"/>
        <v>0</v>
      </c>
      <c r="AC383" s="37">
        <f t="shared" si="310"/>
        <v>0</v>
      </c>
      <c r="AD383" s="37">
        <f t="shared" si="311"/>
        <v>0</v>
      </c>
      <c r="AE383" s="37">
        <f t="shared" si="312"/>
        <v>0</v>
      </c>
      <c r="AF383" s="37">
        <f t="shared" si="313"/>
        <v>0</v>
      </c>
      <c r="AG383" s="37">
        <f t="shared" si="314"/>
        <v>0</v>
      </c>
      <c r="AH383" s="37">
        <f t="shared" si="315"/>
        <v>0</v>
      </c>
      <c r="AI383" s="35"/>
      <c r="AJ383" s="24">
        <f t="shared" si="316"/>
        <v>0</v>
      </c>
      <c r="AK383" s="24">
        <f t="shared" si="317"/>
        <v>0</v>
      </c>
      <c r="AL383" s="24">
        <f t="shared" si="318"/>
        <v>0</v>
      </c>
      <c r="AN383" s="37">
        <v>21</v>
      </c>
      <c r="AO383" s="37">
        <f>I383*0.433151658767773</f>
        <v>0</v>
      </c>
      <c r="AP383" s="37">
        <f>I383*(1-0.433151658767773)</f>
        <v>0</v>
      </c>
      <c r="AQ383" s="38" t="s">
        <v>8</v>
      </c>
      <c r="AV383" s="37">
        <f t="shared" si="319"/>
        <v>0</v>
      </c>
      <c r="AW383" s="37">
        <f t="shared" si="320"/>
        <v>0</v>
      </c>
      <c r="AX383" s="37">
        <f t="shared" si="321"/>
        <v>0</v>
      </c>
      <c r="AY383" s="40" t="s">
        <v>1245</v>
      </c>
      <c r="AZ383" s="40" t="s">
        <v>1260</v>
      </c>
      <c r="BA383" s="35" t="s">
        <v>1262</v>
      </c>
      <c r="BC383" s="37">
        <f t="shared" si="322"/>
        <v>0</v>
      </c>
      <c r="BD383" s="37">
        <f t="shared" si="323"/>
        <v>0</v>
      </c>
      <c r="BE383" s="37">
        <v>0</v>
      </c>
      <c r="BF383" s="37">
        <f t="shared" si="324"/>
        <v>383</v>
      </c>
      <c r="BH383" s="24">
        <f t="shared" si="325"/>
        <v>0</v>
      </c>
      <c r="BI383" s="24">
        <f t="shared" si="326"/>
        <v>0</v>
      </c>
      <c r="BJ383" s="24">
        <f t="shared" si="327"/>
        <v>0</v>
      </c>
      <c r="BK383" s="24" t="s">
        <v>1267</v>
      </c>
      <c r="BL383" s="37" t="s">
        <v>623</v>
      </c>
    </row>
    <row r="384" spans="1:64" x14ac:dyDescent="0.25">
      <c r="A384" s="4" t="s">
        <v>275</v>
      </c>
      <c r="B384" s="14" t="s">
        <v>627</v>
      </c>
      <c r="C384" s="130" t="s">
        <v>1041</v>
      </c>
      <c r="D384" s="131"/>
      <c r="E384" s="131"/>
      <c r="F384" s="131"/>
      <c r="G384" s="14" t="s">
        <v>1170</v>
      </c>
      <c r="H384" s="24">
        <v>6</v>
      </c>
      <c r="I384" s="24">
        <v>0</v>
      </c>
      <c r="J384" s="24">
        <f t="shared" si="305"/>
        <v>0</v>
      </c>
      <c r="K384" s="24">
        <f t="shared" si="306"/>
        <v>0</v>
      </c>
      <c r="L384" s="24">
        <f t="shared" si="307"/>
        <v>0</v>
      </c>
      <c r="M384" s="24">
        <v>1.1E-4</v>
      </c>
      <c r="N384" s="46">
        <f>H384*384</f>
        <v>2304</v>
      </c>
      <c r="O384" s="5"/>
      <c r="Z384" s="37">
        <f t="shared" si="308"/>
        <v>0</v>
      </c>
      <c r="AB384" s="37">
        <f t="shared" si="309"/>
        <v>0</v>
      </c>
      <c r="AC384" s="37">
        <f t="shared" si="310"/>
        <v>0</v>
      </c>
      <c r="AD384" s="37">
        <f t="shared" si="311"/>
        <v>0</v>
      </c>
      <c r="AE384" s="37">
        <f t="shared" si="312"/>
        <v>0</v>
      </c>
      <c r="AF384" s="37">
        <f t="shared" si="313"/>
        <v>0</v>
      </c>
      <c r="AG384" s="37">
        <f t="shared" si="314"/>
        <v>0</v>
      </c>
      <c r="AH384" s="37">
        <f t="shared" si="315"/>
        <v>0</v>
      </c>
      <c r="AI384" s="35"/>
      <c r="AJ384" s="24">
        <f t="shared" si="316"/>
        <v>0</v>
      </c>
      <c r="AK384" s="24">
        <f t="shared" si="317"/>
        <v>0</v>
      </c>
      <c r="AL384" s="24">
        <f t="shared" si="318"/>
        <v>0</v>
      </c>
      <c r="AN384" s="37">
        <v>21</v>
      </c>
      <c r="AO384" s="37">
        <f>I384*0.101268656716418</f>
        <v>0</v>
      </c>
      <c r="AP384" s="37">
        <f>I384*(1-0.101268656716418)</f>
        <v>0</v>
      </c>
      <c r="AQ384" s="38" t="s">
        <v>8</v>
      </c>
      <c r="AV384" s="37">
        <f t="shared" si="319"/>
        <v>0</v>
      </c>
      <c r="AW384" s="37">
        <f t="shared" si="320"/>
        <v>0</v>
      </c>
      <c r="AX384" s="37">
        <f t="shared" si="321"/>
        <v>0</v>
      </c>
      <c r="AY384" s="40" t="s">
        <v>1245</v>
      </c>
      <c r="AZ384" s="40" t="s">
        <v>1260</v>
      </c>
      <c r="BA384" s="35" t="s">
        <v>1262</v>
      </c>
      <c r="BC384" s="37">
        <f t="shared" si="322"/>
        <v>0</v>
      </c>
      <c r="BD384" s="37">
        <f t="shared" si="323"/>
        <v>0</v>
      </c>
      <c r="BE384" s="37">
        <v>0</v>
      </c>
      <c r="BF384" s="37">
        <f t="shared" si="324"/>
        <v>2304</v>
      </c>
      <c r="BH384" s="24">
        <f t="shared" si="325"/>
        <v>0</v>
      </c>
      <c r="BI384" s="24">
        <f t="shared" si="326"/>
        <v>0</v>
      </c>
      <c r="BJ384" s="24">
        <f t="shared" si="327"/>
        <v>0</v>
      </c>
      <c r="BK384" s="24" t="s">
        <v>1267</v>
      </c>
      <c r="BL384" s="37" t="s">
        <v>623</v>
      </c>
    </row>
    <row r="385" spans="1:64" x14ac:dyDescent="0.25">
      <c r="A385" s="4" t="s">
        <v>276</v>
      </c>
      <c r="B385" s="14" t="s">
        <v>628</v>
      </c>
      <c r="C385" s="130" t="s">
        <v>1042</v>
      </c>
      <c r="D385" s="131"/>
      <c r="E385" s="131"/>
      <c r="F385" s="131"/>
      <c r="G385" s="14" t="s">
        <v>1170</v>
      </c>
      <c r="H385" s="24">
        <v>4</v>
      </c>
      <c r="I385" s="24">
        <v>0</v>
      </c>
      <c r="J385" s="24">
        <f t="shared" si="305"/>
        <v>0</v>
      </c>
      <c r="K385" s="24">
        <f t="shared" si="306"/>
        <v>0</v>
      </c>
      <c r="L385" s="24">
        <f t="shared" si="307"/>
        <v>0</v>
      </c>
      <c r="M385" s="24">
        <v>0</v>
      </c>
      <c r="N385" s="46">
        <f>H385*385</f>
        <v>1540</v>
      </c>
      <c r="O385" s="5"/>
      <c r="Z385" s="37">
        <f t="shared" si="308"/>
        <v>0</v>
      </c>
      <c r="AB385" s="37">
        <f t="shared" si="309"/>
        <v>0</v>
      </c>
      <c r="AC385" s="37">
        <f t="shared" si="310"/>
        <v>0</v>
      </c>
      <c r="AD385" s="37">
        <f t="shared" si="311"/>
        <v>0</v>
      </c>
      <c r="AE385" s="37">
        <f t="shared" si="312"/>
        <v>0</v>
      </c>
      <c r="AF385" s="37">
        <f t="shared" si="313"/>
        <v>0</v>
      </c>
      <c r="AG385" s="37">
        <f t="shared" si="314"/>
        <v>0</v>
      </c>
      <c r="AH385" s="37">
        <f t="shared" si="315"/>
        <v>0</v>
      </c>
      <c r="AI385" s="35"/>
      <c r="AJ385" s="24">
        <f t="shared" si="316"/>
        <v>0</v>
      </c>
      <c r="AK385" s="24">
        <f t="shared" si="317"/>
        <v>0</v>
      </c>
      <c r="AL385" s="24">
        <f t="shared" si="318"/>
        <v>0</v>
      </c>
      <c r="AN385" s="37">
        <v>21</v>
      </c>
      <c r="AO385" s="37">
        <f>I385*0.500956022944551</f>
        <v>0</v>
      </c>
      <c r="AP385" s="37">
        <f>I385*(1-0.500956022944551)</f>
        <v>0</v>
      </c>
      <c r="AQ385" s="38" t="s">
        <v>8</v>
      </c>
      <c r="AV385" s="37">
        <f t="shared" si="319"/>
        <v>0</v>
      </c>
      <c r="AW385" s="37">
        <f t="shared" si="320"/>
        <v>0</v>
      </c>
      <c r="AX385" s="37">
        <f t="shared" si="321"/>
        <v>0</v>
      </c>
      <c r="AY385" s="40" t="s">
        <v>1245</v>
      </c>
      <c r="AZ385" s="40" t="s">
        <v>1260</v>
      </c>
      <c r="BA385" s="35" t="s">
        <v>1262</v>
      </c>
      <c r="BC385" s="37">
        <f t="shared" si="322"/>
        <v>0</v>
      </c>
      <c r="BD385" s="37">
        <f t="shared" si="323"/>
        <v>0</v>
      </c>
      <c r="BE385" s="37">
        <v>0</v>
      </c>
      <c r="BF385" s="37">
        <f t="shared" si="324"/>
        <v>1540</v>
      </c>
      <c r="BH385" s="24">
        <f t="shared" si="325"/>
        <v>0</v>
      </c>
      <c r="BI385" s="24">
        <f t="shared" si="326"/>
        <v>0</v>
      </c>
      <c r="BJ385" s="24">
        <f t="shared" si="327"/>
        <v>0</v>
      </c>
      <c r="BK385" s="24" t="s">
        <v>1267</v>
      </c>
      <c r="BL385" s="37" t="s">
        <v>623</v>
      </c>
    </row>
    <row r="386" spans="1:64" x14ac:dyDescent="0.25">
      <c r="A386" s="4" t="s">
        <v>277</v>
      </c>
      <c r="B386" s="14" t="s">
        <v>629</v>
      </c>
      <c r="C386" s="130" t="s">
        <v>1043</v>
      </c>
      <c r="D386" s="131"/>
      <c r="E386" s="131"/>
      <c r="F386" s="131"/>
      <c r="G386" s="14" t="s">
        <v>1170</v>
      </c>
      <c r="H386" s="24">
        <v>1</v>
      </c>
      <c r="I386" s="24">
        <v>0</v>
      </c>
      <c r="J386" s="24">
        <f t="shared" si="305"/>
        <v>0</v>
      </c>
      <c r="K386" s="24">
        <f t="shared" si="306"/>
        <v>0</v>
      </c>
      <c r="L386" s="24">
        <f t="shared" si="307"/>
        <v>0</v>
      </c>
      <c r="M386" s="24">
        <v>0</v>
      </c>
      <c r="N386" s="46">
        <f>H386*386</f>
        <v>386</v>
      </c>
      <c r="O386" s="5"/>
      <c r="Z386" s="37">
        <f t="shared" si="308"/>
        <v>0</v>
      </c>
      <c r="AB386" s="37">
        <f t="shared" si="309"/>
        <v>0</v>
      </c>
      <c r="AC386" s="37">
        <f t="shared" si="310"/>
        <v>0</v>
      </c>
      <c r="AD386" s="37">
        <f t="shared" si="311"/>
        <v>0</v>
      </c>
      <c r="AE386" s="37">
        <f t="shared" si="312"/>
        <v>0</v>
      </c>
      <c r="AF386" s="37">
        <f t="shared" si="313"/>
        <v>0</v>
      </c>
      <c r="AG386" s="37">
        <f t="shared" si="314"/>
        <v>0</v>
      </c>
      <c r="AH386" s="37">
        <f t="shared" si="315"/>
        <v>0</v>
      </c>
      <c r="AI386" s="35"/>
      <c r="AJ386" s="24">
        <f t="shared" si="316"/>
        <v>0</v>
      </c>
      <c r="AK386" s="24">
        <f t="shared" si="317"/>
        <v>0</v>
      </c>
      <c r="AL386" s="24">
        <f t="shared" si="318"/>
        <v>0</v>
      </c>
      <c r="AN386" s="37">
        <v>21</v>
      </c>
      <c r="AO386" s="37">
        <f>I386*0.64343163538874</f>
        <v>0</v>
      </c>
      <c r="AP386" s="37">
        <f>I386*(1-0.64343163538874)</f>
        <v>0</v>
      </c>
      <c r="AQ386" s="38" t="s">
        <v>8</v>
      </c>
      <c r="AV386" s="37">
        <f t="shared" si="319"/>
        <v>0</v>
      </c>
      <c r="AW386" s="37">
        <f t="shared" si="320"/>
        <v>0</v>
      </c>
      <c r="AX386" s="37">
        <f t="shared" si="321"/>
        <v>0</v>
      </c>
      <c r="AY386" s="40" t="s">
        <v>1245</v>
      </c>
      <c r="AZ386" s="40" t="s">
        <v>1260</v>
      </c>
      <c r="BA386" s="35" t="s">
        <v>1262</v>
      </c>
      <c r="BC386" s="37">
        <f t="shared" si="322"/>
        <v>0</v>
      </c>
      <c r="BD386" s="37">
        <f t="shared" si="323"/>
        <v>0</v>
      </c>
      <c r="BE386" s="37">
        <v>0</v>
      </c>
      <c r="BF386" s="37">
        <f t="shared" si="324"/>
        <v>386</v>
      </c>
      <c r="BH386" s="24">
        <f t="shared" si="325"/>
        <v>0</v>
      </c>
      <c r="BI386" s="24">
        <f t="shared" si="326"/>
        <v>0</v>
      </c>
      <c r="BJ386" s="24">
        <f t="shared" si="327"/>
        <v>0</v>
      </c>
      <c r="BK386" s="24" t="s">
        <v>1267</v>
      </c>
      <c r="BL386" s="37" t="s">
        <v>623</v>
      </c>
    </row>
    <row r="387" spans="1:64" x14ac:dyDescent="0.25">
      <c r="A387" s="4" t="s">
        <v>278</v>
      </c>
      <c r="B387" s="14" t="s">
        <v>630</v>
      </c>
      <c r="C387" s="130" t="s">
        <v>1044</v>
      </c>
      <c r="D387" s="131"/>
      <c r="E387" s="131"/>
      <c r="F387" s="131"/>
      <c r="G387" s="14" t="s">
        <v>1170</v>
      </c>
      <c r="H387" s="24">
        <v>1</v>
      </c>
      <c r="I387" s="24">
        <v>0</v>
      </c>
      <c r="J387" s="24">
        <f t="shared" si="305"/>
        <v>0</v>
      </c>
      <c r="K387" s="24">
        <f t="shared" si="306"/>
        <v>0</v>
      </c>
      <c r="L387" s="24">
        <f t="shared" si="307"/>
        <v>0</v>
      </c>
      <c r="M387" s="24">
        <v>0</v>
      </c>
      <c r="N387" s="46">
        <f>H387*387</f>
        <v>387</v>
      </c>
      <c r="O387" s="5"/>
      <c r="Z387" s="37">
        <f t="shared" si="308"/>
        <v>0</v>
      </c>
      <c r="AB387" s="37">
        <f t="shared" si="309"/>
        <v>0</v>
      </c>
      <c r="AC387" s="37">
        <f t="shared" si="310"/>
        <v>0</v>
      </c>
      <c r="AD387" s="37">
        <f t="shared" si="311"/>
        <v>0</v>
      </c>
      <c r="AE387" s="37">
        <f t="shared" si="312"/>
        <v>0</v>
      </c>
      <c r="AF387" s="37">
        <f t="shared" si="313"/>
        <v>0</v>
      </c>
      <c r="AG387" s="37">
        <f t="shared" si="314"/>
        <v>0</v>
      </c>
      <c r="AH387" s="37">
        <f t="shared" si="315"/>
        <v>0</v>
      </c>
      <c r="AI387" s="35"/>
      <c r="AJ387" s="24">
        <f t="shared" si="316"/>
        <v>0</v>
      </c>
      <c r="AK387" s="24">
        <f t="shared" si="317"/>
        <v>0</v>
      </c>
      <c r="AL387" s="24">
        <f t="shared" si="318"/>
        <v>0</v>
      </c>
      <c r="AN387" s="37">
        <v>21</v>
      </c>
      <c r="AO387" s="37">
        <f>I387*0.452970297029703</f>
        <v>0</v>
      </c>
      <c r="AP387" s="37">
        <f>I387*(1-0.452970297029703)</f>
        <v>0</v>
      </c>
      <c r="AQ387" s="38" t="s">
        <v>8</v>
      </c>
      <c r="AV387" s="37">
        <f t="shared" si="319"/>
        <v>0</v>
      </c>
      <c r="AW387" s="37">
        <f t="shared" si="320"/>
        <v>0</v>
      </c>
      <c r="AX387" s="37">
        <f t="shared" si="321"/>
        <v>0</v>
      </c>
      <c r="AY387" s="40" t="s">
        <v>1245</v>
      </c>
      <c r="AZ387" s="40" t="s">
        <v>1260</v>
      </c>
      <c r="BA387" s="35" t="s">
        <v>1262</v>
      </c>
      <c r="BC387" s="37">
        <f t="shared" si="322"/>
        <v>0</v>
      </c>
      <c r="BD387" s="37">
        <f t="shared" si="323"/>
        <v>0</v>
      </c>
      <c r="BE387" s="37">
        <v>0</v>
      </c>
      <c r="BF387" s="37">
        <f t="shared" si="324"/>
        <v>387</v>
      </c>
      <c r="BH387" s="24">
        <f t="shared" si="325"/>
        <v>0</v>
      </c>
      <c r="BI387" s="24">
        <f t="shared" si="326"/>
        <v>0</v>
      </c>
      <c r="BJ387" s="24">
        <f t="shared" si="327"/>
        <v>0</v>
      </c>
      <c r="BK387" s="24" t="s">
        <v>1267</v>
      </c>
      <c r="BL387" s="37" t="s">
        <v>623</v>
      </c>
    </row>
    <row r="388" spans="1:64" x14ac:dyDescent="0.25">
      <c r="A388" s="4" t="s">
        <v>279</v>
      </c>
      <c r="B388" s="14" t="s">
        <v>631</v>
      </c>
      <c r="C388" s="130" t="s">
        <v>1045</v>
      </c>
      <c r="D388" s="131"/>
      <c r="E388" s="131"/>
      <c r="F388" s="131"/>
      <c r="G388" s="14" t="s">
        <v>1170</v>
      </c>
      <c r="H388" s="24">
        <v>8</v>
      </c>
      <c r="I388" s="24">
        <v>0</v>
      </c>
      <c r="J388" s="24">
        <f t="shared" si="305"/>
        <v>0</v>
      </c>
      <c r="K388" s="24">
        <f t="shared" si="306"/>
        <v>0</v>
      </c>
      <c r="L388" s="24">
        <f t="shared" si="307"/>
        <v>0</v>
      </c>
      <c r="M388" s="24">
        <v>2.0000000000000001E-4</v>
      </c>
      <c r="N388" s="46">
        <f>H388*388</f>
        <v>3104</v>
      </c>
      <c r="O388" s="5"/>
      <c r="Z388" s="37">
        <f t="shared" si="308"/>
        <v>0</v>
      </c>
      <c r="AB388" s="37">
        <f t="shared" si="309"/>
        <v>0</v>
      </c>
      <c r="AC388" s="37">
        <f t="shared" si="310"/>
        <v>0</v>
      </c>
      <c r="AD388" s="37">
        <f t="shared" si="311"/>
        <v>0</v>
      </c>
      <c r="AE388" s="37">
        <f t="shared" si="312"/>
        <v>0</v>
      </c>
      <c r="AF388" s="37">
        <f t="shared" si="313"/>
        <v>0</v>
      </c>
      <c r="AG388" s="37">
        <f t="shared" si="314"/>
        <v>0</v>
      </c>
      <c r="AH388" s="37">
        <f t="shared" si="315"/>
        <v>0</v>
      </c>
      <c r="AI388" s="35"/>
      <c r="AJ388" s="24">
        <f t="shared" si="316"/>
        <v>0</v>
      </c>
      <c r="AK388" s="24">
        <f t="shared" si="317"/>
        <v>0</v>
      </c>
      <c r="AL388" s="24">
        <f t="shared" si="318"/>
        <v>0</v>
      </c>
      <c r="AN388" s="37">
        <v>21</v>
      </c>
      <c r="AO388" s="37">
        <f>I388*0.353159851301115</f>
        <v>0</v>
      </c>
      <c r="AP388" s="37">
        <f>I388*(1-0.353159851301115)</f>
        <v>0</v>
      </c>
      <c r="AQ388" s="38" t="s">
        <v>8</v>
      </c>
      <c r="AV388" s="37">
        <f t="shared" si="319"/>
        <v>0</v>
      </c>
      <c r="AW388" s="37">
        <f t="shared" si="320"/>
        <v>0</v>
      </c>
      <c r="AX388" s="37">
        <f t="shared" si="321"/>
        <v>0</v>
      </c>
      <c r="AY388" s="40" t="s">
        <v>1245</v>
      </c>
      <c r="AZ388" s="40" t="s">
        <v>1260</v>
      </c>
      <c r="BA388" s="35" t="s">
        <v>1262</v>
      </c>
      <c r="BC388" s="37">
        <f t="shared" si="322"/>
        <v>0</v>
      </c>
      <c r="BD388" s="37">
        <f t="shared" si="323"/>
        <v>0</v>
      </c>
      <c r="BE388" s="37">
        <v>0</v>
      </c>
      <c r="BF388" s="37">
        <f t="shared" si="324"/>
        <v>3104</v>
      </c>
      <c r="BH388" s="24">
        <f t="shared" si="325"/>
        <v>0</v>
      </c>
      <c r="BI388" s="24">
        <f t="shared" si="326"/>
        <v>0</v>
      </c>
      <c r="BJ388" s="24">
        <f t="shared" si="327"/>
        <v>0</v>
      </c>
      <c r="BK388" s="24" t="s">
        <v>1267</v>
      </c>
      <c r="BL388" s="37" t="s">
        <v>623</v>
      </c>
    </row>
    <row r="389" spans="1:64" x14ac:dyDescent="0.25">
      <c r="A389" s="4" t="s">
        <v>280</v>
      </c>
      <c r="B389" s="14" t="s">
        <v>631</v>
      </c>
      <c r="C389" s="130" t="s">
        <v>1046</v>
      </c>
      <c r="D389" s="131"/>
      <c r="E389" s="131"/>
      <c r="F389" s="131"/>
      <c r="G389" s="14" t="s">
        <v>1170</v>
      </c>
      <c r="H389" s="24">
        <v>1</v>
      </c>
      <c r="I389" s="24">
        <v>0</v>
      </c>
      <c r="J389" s="24">
        <f t="shared" si="305"/>
        <v>0</v>
      </c>
      <c r="K389" s="24">
        <f t="shared" si="306"/>
        <v>0</v>
      </c>
      <c r="L389" s="24">
        <f t="shared" si="307"/>
        <v>0</v>
      </c>
      <c r="M389" s="24">
        <v>2.0000000000000001E-4</v>
      </c>
      <c r="N389" s="46">
        <f>H389*389</f>
        <v>389</v>
      </c>
      <c r="O389" s="5"/>
      <c r="Z389" s="37">
        <f t="shared" si="308"/>
        <v>0</v>
      </c>
      <c r="AB389" s="37">
        <f t="shared" si="309"/>
        <v>0</v>
      </c>
      <c r="AC389" s="37">
        <f t="shared" si="310"/>
        <v>0</v>
      </c>
      <c r="AD389" s="37">
        <f t="shared" si="311"/>
        <v>0</v>
      </c>
      <c r="AE389" s="37">
        <f t="shared" si="312"/>
        <v>0</v>
      </c>
      <c r="AF389" s="37">
        <f t="shared" si="313"/>
        <v>0</v>
      </c>
      <c r="AG389" s="37">
        <f t="shared" si="314"/>
        <v>0</v>
      </c>
      <c r="AH389" s="37">
        <f t="shared" si="315"/>
        <v>0</v>
      </c>
      <c r="AI389" s="35"/>
      <c r="AJ389" s="24">
        <f t="shared" si="316"/>
        <v>0</v>
      </c>
      <c r="AK389" s="24">
        <f t="shared" si="317"/>
        <v>0</v>
      </c>
      <c r="AL389" s="24">
        <f t="shared" si="318"/>
        <v>0</v>
      </c>
      <c r="AN389" s="37">
        <v>21</v>
      </c>
      <c r="AO389" s="37">
        <f>I389*0.463949843260188</f>
        <v>0</v>
      </c>
      <c r="AP389" s="37">
        <f>I389*(1-0.463949843260188)</f>
        <v>0</v>
      </c>
      <c r="AQ389" s="38" t="s">
        <v>8</v>
      </c>
      <c r="AV389" s="37">
        <f t="shared" si="319"/>
        <v>0</v>
      </c>
      <c r="AW389" s="37">
        <f t="shared" si="320"/>
        <v>0</v>
      </c>
      <c r="AX389" s="37">
        <f t="shared" si="321"/>
        <v>0</v>
      </c>
      <c r="AY389" s="40" t="s">
        <v>1245</v>
      </c>
      <c r="AZ389" s="40" t="s">
        <v>1260</v>
      </c>
      <c r="BA389" s="35" t="s">
        <v>1262</v>
      </c>
      <c r="BC389" s="37">
        <f t="shared" si="322"/>
        <v>0</v>
      </c>
      <c r="BD389" s="37">
        <f t="shared" si="323"/>
        <v>0</v>
      </c>
      <c r="BE389" s="37">
        <v>0</v>
      </c>
      <c r="BF389" s="37">
        <f t="shared" si="324"/>
        <v>389</v>
      </c>
      <c r="BH389" s="24">
        <f t="shared" si="325"/>
        <v>0</v>
      </c>
      <c r="BI389" s="24">
        <f t="shared" si="326"/>
        <v>0</v>
      </c>
      <c r="BJ389" s="24">
        <f t="shared" si="327"/>
        <v>0</v>
      </c>
      <c r="BK389" s="24" t="s">
        <v>1267</v>
      </c>
      <c r="BL389" s="37" t="s">
        <v>623</v>
      </c>
    </row>
    <row r="390" spans="1:64" x14ac:dyDescent="0.25">
      <c r="A390" s="4" t="s">
        <v>281</v>
      </c>
      <c r="B390" s="14" t="s">
        <v>631</v>
      </c>
      <c r="C390" s="130" t="s">
        <v>1047</v>
      </c>
      <c r="D390" s="131"/>
      <c r="E390" s="131"/>
      <c r="F390" s="131"/>
      <c r="G390" s="14" t="s">
        <v>1171</v>
      </c>
      <c r="H390" s="24">
        <v>1</v>
      </c>
      <c r="I390" s="24">
        <v>0</v>
      </c>
      <c r="J390" s="24">
        <f t="shared" si="305"/>
        <v>0</v>
      </c>
      <c r="K390" s="24">
        <f t="shared" si="306"/>
        <v>0</v>
      </c>
      <c r="L390" s="24">
        <f t="shared" si="307"/>
        <v>0</v>
      </c>
      <c r="M390" s="24">
        <v>2.0000000000000001E-4</v>
      </c>
      <c r="N390" s="46">
        <f>H390*390</f>
        <v>390</v>
      </c>
      <c r="O390" s="5"/>
      <c r="Z390" s="37">
        <f t="shared" si="308"/>
        <v>0</v>
      </c>
      <c r="AB390" s="37">
        <f t="shared" si="309"/>
        <v>0</v>
      </c>
      <c r="AC390" s="37">
        <f t="shared" si="310"/>
        <v>0</v>
      </c>
      <c r="AD390" s="37">
        <f t="shared" si="311"/>
        <v>0</v>
      </c>
      <c r="AE390" s="37">
        <f t="shared" si="312"/>
        <v>0</v>
      </c>
      <c r="AF390" s="37">
        <f t="shared" si="313"/>
        <v>0</v>
      </c>
      <c r="AG390" s="37">
        <f t="shared" si="314"/>
        <v>0</v>
      </c>
      <c r="AH390" s="37">
        <f t="shared" si="315"/>
        <v>0</v>
      </c>
      <c r="AI390" s="35"/>
      <c r="AJ390" s="24">
        <f t="shared" si="316"/>
        <v>0</v>
      </c>
      <c r="AK390" s="24">
        <f t="shared" si="317"/>
        <v>0</v>
      </c>
      <c r="AL390" s="24">
        <f t="shared" si="318"/>
        <v>0</v>
      </c>
      <c r="AN390" s="37">
        <v>21</v>
      </c>
      <c r="AO390" s="37">
        <f>I390*0.751366120218579</f>
        <v>0</v>
      </c>
      <c r="AP390" s="37">
        <f>I390*(1-0.751366120218579)</f>
        <v>0</v>
      </c>
      <c r="AQ390" s="38" t="s">
        <v>8</v>
      </c>
      <c r="AV390" s="37">
        <f t="shared" si="319"/>
        <v>0</v>
      </c>
      <c r="AW390" s="37">
        <f t="shared" si="320"/>
        <v>0</v>
      </c>
      <c r="AX390" s="37">
        <f t="shared" si="321"/>
        <v>0</v>
      </c>
      <c r="AY390" s="40" t="s">
        <v>1245</v>
      </c>
      <c r="AZ390" s="40" t="s">
        <v>1260</v>
      </c>
      <c r="BA390" s="35" t="s">
        <v>1262</v>
      </c>
      <c r="BC390" s="37">
        <f t="shared" si="322"/>
        <v>0</v>
      </c>
      <c r="BD390" s="37">
        <f t="shared" si="323"/>
        <v>0</v>
      </c>
      <c r="BE390" s="37">
        <v>0</v>
      </c>
      <c r="BF390" s="37">
        <f t="shared" si="324"/>
        <v>390</v>
      </c>
      <c r="BH390" s="24">
        <f t="shared" si="325"/>
        <v>0</v>
      </c>
      <c r="BI390" s="24">
        <f t="shared" si="326"/>
        <v>0</v>
      </c>
      <c r="BJ390" s="24">
        <f t="shared" si="327"/>
        <v>0</v>
      </c>
      <c r="BK390" s="24" t="s">
        <v>1267</v>
      </c>
      <c r="BL390" s="37" t="s">
        <v>623</v>
      </c>
    </row>
    <row r="391" spans="1:64" x14ac:dyDescent="0.25">
      <c r="A391" s="4" t="s">
        <v>282</v>
      </c>
      <c r="B391" s="14" t="s">
        <v>631</v>
      </c>
      <c r="C391" s="130" t="s">
        <v>1048</v>
      </c>
      <c r="D391" s="131"/>
      <c r="E391" s="131"/>
      <c r="F391" s="131"/>
      <c r="G391" s="14" t="s">
        <v>1171</v>
      </c>
      <c r="H391" s="24">
        <v>1</v>
      </c>
      <c r="I391" s="24">
        <v>0</v>
      </c>
      <c r="J391" s="24">
        <f t="shared" si="305"/>
        <v>0</v>
      </c>
      <c r="K391" s="24">
        <f t="shared" si="306"/>
        <v>0</v>
      </c>
      <c r="L391" s="24">
        <f t="shared" si="307"/>
        <v>0</v>
      </c>
      <c r="M391" s="24">
        <v>2.0000000000000001E-4</v>
      </c>
      <c r="N391" s="46">
        <f>H391*391</f>
        <v>391</v>
      </c>
      <c r="O391" s="5"/>
      <c r="Z391" s="37">
        <f t="shared" si="308"/>
        <v>0</v>
      </c>
      <c r="AB391" s="37">
        <f t="shared" si="309"/>
        <v>0</v>
      </c>
      <c r="AC391" s="37">
        <f t="shared" si="310"/>
        <v>0</v>
      </c>
      <c r="AD391" s="37">
        <f t="shared" si="311"/>
        <v>0</v>
      </c>
      <c r="AE391" s="37">
        <f t="shared" si="312"/>
        <v>0</v>
      </c>
      <c r="AF391" s="37">
        <f t="shared" si="313"/>
        <v>0</v>
      </c>
      <c r="AG391" s="37">
        <f t="shared" si="314"/>
        <v>0</v>
      </c>
      <c r="AH391" s="37">
        <f t="shared" si="315"/>
        <v>0</v>
      </c>
      <c r="AI391" s="35"/>
      <c r="AJ391" s="24">
        <f t="shared" si="316"/>
        <v>0</v>
      </c>
      <c r="AK391" s="24">
        <f t="shared" si="317"/>
        <v>0</v>
      </c>
      <c r="AL391" s="24">
        <f t="shared" si="318"/>
        <v>0</v>
      </c>
      <c r="AN391" s="37">
        <v>21</v>
      </c>
      <c r="AO391" s="37">
        <f>I391*0.751366120218579</f>
        <v>0</v>
      </c>
      <c r="AP391" s="37">
        <f>I391*(1-0.751366120218579)</f>
        <v>0</v>
      </c>
      <c r="AQ391" s="38" t="s">
        <v>8</v>
      </c>
      <c r="AV391" s="37">
        <f t="shared" si="319"/>
        <v>0</v>
      </c>
      <c r="AW391" s="37">
        <f t="shared" si="320"/>
        <v>0</v>
      </c>
      <c r="AX391" s="37">
        <f t="shared" si="321"/>
        <v>0</v>
      </c>
      <c r="AY391" s="40" t="s">
        <v>1245</v>
      </c>
      <c r="AZ391" s="40" t="s">
        <v>1260</v>
      </c>
      <c r="BA391" s="35" t="s">
        <v>1262</v>
      </c>
      <c r="BC391" s="37">
        <f t="shared" si="322"/>
        <v>0</v>
      </c>
      <c r="BD391" s="37">
        <f t="shared" si="323"/>
        <v>0</v>
      </c>
      <c r="BE391" s="37">
        <v>0</v>
      </c>
      <c r="BF391" s="37">
        <f t="shared" si="324"/>
        <v>391</v>
      </c>
      <c r="BH391" s="24">
        <f t="shared" si="325"/>
        <v>0</v>
      </c>
      <c r="BI391" s="24">
        <f t="shared" si="326"/>
        <v>0</v>
      </c>
      <c r="BJ391" s="24">
        <f t="shared" si="327"/>
        <v>0</v>
      </c>
      <c r="BK391" s="24" t="s">
        <v>1267</v>
      </c>
      <c r="BL391" s="37" t="s">
        <v>623</v>
      </c>
    </row>
    <row r="392" spans="1:64" x14ac:dyDescent="0.25">
      <c r="A392" s="4" t="s">
        <v>283</v>
      </c>
      <c r="B392" s="14" t="s">
        <v>632</v>
      </c>
      <c r="C392" s="130" t="s">
        <v>1049</v>
      </c>
      <c r="D392" s="131"/>
      <c r="E392" s="131"/>
      <c r="F392" s="131"/>
      <c r="G392" s="14" t="s">
        <v>1165</v>
      </c>
      <c r="H392" s="24">
        <v>3</v>
      </c>
      <c r="I392" s="24">
        <v>0</v>
      </c>
      <c r="J392" s="24">
        <f t="shared" si="305"/>
        <v>0</v>
      </c>
      <c r="K392" s="24">
        <f t="shared" si="306"/>
        <v>0</v>
      </c>
      <c r="L392" s="24">
        <f t="shared" si="307"/>
        <v>0</v>
      </c>
      <c r="M392" s="24">
        <v>1.41E-3</v>
      </c>
      <c r="N392" s="46">
        <f>H392*392</f>
        <v>1176</v>
      </c>
      <c r="O392" s="5"/>
      <c r="Z392" s="37">
        <f t="shared" si="308"/>
        <v>0</v>
      </c>
      <c r="AB392" s="37">
        <f t="shared" si="309"/>
        <v>0</v>
      </c>
      <c r="AC392" s="37">
        <f t="shared" si="310"/>
        <v>0</v>
      </c>
      <c r="AD392" s="37">
        <f t="shared" si="311"/>
        <v>0</v>
      </c>
      <c r="AE392" s="37">
        <f t="shared" si="312"/>
        <v>0</v>
      </c>
      <c r="AF392" s="37">
        <f t="shared" si="313"/>
        <v>0</v>
      </c>
      <c r="AG392" s="37">
        <f t="shared" si="314"/>
        <v>0</v>
      </c>
      <c r="AH392" s="37">
        <f t="shared" si="315"/>
        <v>0</v>
      </c>
      <c r="AI392" s="35"/>
      <c r="AJ392" s="24">
        <f t="shared" si="316"/>
        <v>0</v>
      </c>
      <c r="AK392" s="24">
        <f t="shared" si="317"/>
        <v>0</v>
      </c>
      <c r="AL392" s="24">
        <f t="shared" si="318"/>
        <v>0</v>
      </c>
      <c r="AN392" s="37">
        <v>21</v>
      </c>
      <c r="AO392" s="37">
        <f>I392*0.628272251308901</f>
        <v>0</v>
      </c>
      <c r="AP392" s="37">
        <f>I392*(1-0.628272251308901)</f>
        <v>0</v>
      </c>
      <c r="AQ392" s="38" t="s">
        <v>8</v>
      </c>
      <c r="AV392" s="37">
        <f t="shared" si="319"/>
        <v>0</v>
      </c>
      <c r="AW392" s="37">
        <f t="shared" si="320"/>
        <v>0</v>
      </c>
      <c r="AX392" s="37">
        <f t="shared" si="321"/>
        <v>0</v>
      </c>
      <c r="AY392" s="40" t="s">
        <v>1245</v>
      </c>
      <c r="AZ392" s="40" t="s">
        <v>1260</v>
      </c>
      <c r="BA392" s="35" t="s">
        <v>1262</v>
      </c>
      <c r="BC392" s="37">
        <f t="shared" si="322"/>
        <v>0</v>
      </c>
      <c r="BD392" s="37">
        <f t="shared" si="323"/>
        <v>0</v>
      </c>
      <c r="BE392" s="37">
        <v>0</v>
      </c>
      <c r="BF392" s="37">
        <f t="shared" si="324"/>
        <v>1176</v>
      </c>
      <c r="BH392" s="24">
        <f t="shared" si="325"/>
        <v>0</v>
      </c>
      <c r="BI392" s="24">
        <f t="shared" si="326"/>
        <v>0</v>
      </c>
      <c r="BJ392" s="24">
        <f t="shared" si="327"/>
        <v>0</v>
      </c>
      <c r="BK392" s="24" t="s">
        <v>1267</v>
      </c>
      <c r="BL392" s="37" t="s">
        <v>623</v>
      </c>
    </row>
    <row r="393" spans="1:64" x14ac:dyDescent="0.25">
      <c r="A393" s="4" t="s">
        <v>284</v>
      </c>
      <c r="B393" s="14" t="s">
        <v>633</v>
      </c>
      <c r="C393" s="130" t="s">
        <v>1050</v>
      </c>
      <c r="D393" s="131"/>
      <c r="E393" s="131"/>
      <c r="F393" s="131"/>
      <c r="G393" s="14" t="s">
        <v>1165</v>
      </c>
      <c r="H393" s="24">
        <v>10</v>
      </c>
      <c r="I393" s="24">
        <v>0</v>
      </c>
      <c r="J393" s="24">
        <f t="shared" si="305"/>
        <v>0</v>
      </c>
      <c r="K393" s="24">
        <f t="shared" si="306"/>
        <v>0</v>
      </c>
      <c r="L393" s="24">
        <f t="shared" si="307"/>
        <v>0</v>
      </c>
      <c r="M393" s="24">
        <v>2.3000000000000001E-4</v>
      </c>
      <c r="N393" s="46">
        <f>H393*393</f>
        <v>3930</v>
      </c>
      <c r="O393" s="5"/>
      <c r="Z393" s="37">
        <f t="shared" si="308"/>
        <v>0</v>
      </c>
      <c r="AB393" s="37">
        <f t="shared" si="309"/>
        <v>0</v>
      </c>
      <c r="AC393" s="37">
        <f t="shared" si="310"/>
        <v>0</v>
      </c>
      <c r="AD393" s="37">
        <f t="shared" si="311"/>
        <v>0</v>
      </c>
      <c r="AE393" s="37">
        <f t="shared" si="312"/>
        <v>0</v>
      </c>
      <c r="AF393" s="37">
        <f t="shared" si="313"/>
        <v>0</v>
      </c>
      <c r="AG393" s="37">
        <f t="shared" si="314"/>
        <v>0</v>
      </c>
      <c r="AH393" s="37">
        <f t="shared" si="315"/>
        <v>0</v>
      </c>
      <c r="AI393" s="35"/>
      <c r="AJ393" s="24">
        <f t="shared" si="316"/>
        <v>0</v>
      </c>
      <c r="AK393" s="24">
        <f t="shared" si="317"/>
        <v>0</v>
      </c>
      <c r="AL393" s="24">
        <f t="shared" si="318"/>
        <v>0</v>
      </c>
      <c r="AN393" s="37">
        <v>21</v>
      </c>
      <c r="AO393" s="37">
        <f>I393*0.484171322160149</f>
        <v>0</v>
      </c>
      <c r="AP393" s="37">
        <f>I393*(1-0.484171322160149)</f>
        <v>0</v>
      </c>
      <c r="AQ393" s="38" t="s">
        <v>8</v>
      </c>
      <c r="AV393" s="37">
        <f t="shared" si="319"/>
        <v>0</v>
      </c>
      <c r="AW393" s="37">
        <f t="shared" si="320"/>
        <v>0</v>
      </c>
      <c r="AX393" s="37">
        <f t="shared" si="321"/>
        <v>0</v>
      </c>
      <c r="AY393" s="40" t="s">
        <v>1245</v>
      </c>
      <c r="AZ393" s="40" t="s">
        <v>1260</v>
      </c>
      <c r="BA393" s="35" t="s">
        <v>1262</v>
      </c>
      <c r="BC393" s="37">
        <f t="shared" si="322"/>
        <v>0</v>
      </c>
      <c r="BD393" s="37">
        <f t="shared" si="323"/>
        <v>0</v>
      </c>
      <c r="BE393" s="37">
        <v>0</v>
      </c>
      <c r="BF393" s="37">
        <f t="shared" si="324"/>
        <v>3930</v>
      </c>
      <c r="BH393" s="24">
        <f t="shared" si="325"/>
        <v>0</v>
      </c>
      <c r="BI393" s="24">
        <f t="shared" si="326"/>
        <v>0</v>
      </c>
      <c r="BJ393" s="24">
        <f t="shared" si="327"/>
        <v>0</v>
      </c>
      <c r="BK393" s="24" t="s">
        <v>1267</v>
      </c>
      <c r="BL393" s="37" t="s">
        <v>623</v>
      </c>
    </row>
    <row r="394" spans="1:64" x14ac:dyDescent="0.25">
      <c r="A394" s="4" t="s">
        <v>285</v>
      </c>
      <c r="B394" s="14" t="s">
        <v>634</v>
      </c>
      <c r="C394" s="130" t="s">
        <v>1051</v>
      </c>
      <c r="D394" s="131"/>
      <c r="E394" s="131"/>
      <c r="F394" s="131"/>
      <c r="G394" s="14" t="s">
        <v>1165</v>
      </c>
      <c r="H394" s="24">
        <v>90</v>
      </c>
      <c r="I394" s="24">
        <v>0</v>
      </c>
      <c r="J394" s="24">
        <f t="shared" si="305"/>
        <v>0</v>
      </c>
      <c r="K394" s="24">
        <f t="shared" si="306"/>
        <v>0</v>
      </c>
      <c r="L394" s="24">
        <f t="shared" si="307"/>
        <v>0</v>
      </c>
      <c r="M394" s="24">
        <v>1.6000000000000001E-4</v>
      </c>
      <c r="N394" s="46">
        <f>H394*394</f>
        <v>35460</v>
      </c>
      <c r="O394" s="5"/>
      <c r="Z394" s="37">
        <f t="shared" si="308"/>
        <v>0</v>
      </c>
      <c r="AB394" s="37">
        <f t="shared" si="309"/>
        <v>0</v>
      </c>
      <c r="AC394" s="37">
        <f t="shared" si="310"/>
        <v>0</v>
      </c>
      <c r="AD394" s="37">
        <f t="shared" si="311"/>
        <v>0</v>
      </c>
      <c r="AE394" s="37">
        <f t="shared" si="312"/>
        <v>0</v>
      </c>
      <c r="AF394" s="37">
        <f t="shared" si="313"/>
        <v>0</v>
      </c>
      <c r="AG394" s="37">
        <f t="shared" si="314"/>
        <v>0</v>
      </c>
      <c r="AH394" s="37">
        <f t="shared" si="315"/>
        <v>0</v>
      </c>
      <c r="AI394" s="35"/>
      <c r="AJ394" s="24">
        <f t="shared" si="316"/>
        <v>0</v>
      </c>
      <c r="AK394" s="24">
        <f t="shared" si="317"/>
        <v>0</v>
      </c>
      <c r="AL394" s="24">
        <f t="shared" si="318"/>
        <v>0</v>
      </c>
      <c r="AN394" s="37">
        <v>21</v>
      </c>
      <c r="AO394" s="37">
        <f>I394*0.275036927621861</f>
        <v>0</v>
      </c>
      <c r="AP394" s="37">
        <f>I394*(1-0.275036927621861)</f>
        <v>0</v>
      </c>
      <c r="AQ394" s="38" t="s">
        <v>8</v>
      </c>
      <c r="AV394" s="37">
        <f t="shared" si="319"/>
        <v>0</v>
      </c>
      <c r="AW394" s="37">
        <f t="shared" si="320"/>
        <v>0</v>
      </c>
      <c r="AX394" s="37">
        <f t="shared" si="321"/>
        <v>0</v>
      </c>
      <c r="AY394" s="40" t="s">
        <v>1245</v>
      </c>
      <c r="AZ394" s="40" t="s">
        <v>1260</v>
      </c>
      <c r="BA394" s="35" t="s">
        <v>1262</v>
      </c>
      <c r="BC394" s="37">
        <f t="shared" si="322"/>
        <v>0</v>
      </c>
      <c r="BD394" s="37">
        <f t="shared" si="323"/>
        <v>0</v>
      </c>
      <c r="BE394" s="37">
        <v>0</v>
      </c>
      <c r="BF394" s="37">
        <f t="shared" si="324"/>
        <v>35460</v>
      </c>
      <c r="BH394" s="24">
        <f t="shared" si="325"/>
        <v>0</v>
      </c>
      <c r="BI394" s="24">
        <f t="shared" si="326"/>
        <v>0</v>
      </c>
      <c r="BJ394" s="24">
        <f t="shared" si="327"/>
        <v>0</v>
      </c>
      <c r="BK394" s="24" t="s">
        <v>1267</v>
      </c>
      <c r="BL394" s="37" t="s">
        <v>623</v>
      </c>
    </row>
    <row r="395" spans="1:64" x14ac:dyDescent="0.25">
      <c r="A395" s="4" t="s">
        <v>286</v>
      </c>
      <c r="B395" s="14" t="s">
        <v>635</v>
      </c>
      <c r="C395" s="130" t="s">
        <v>1052</v>
      </c>
      <c r="D395" s="131"/>
      <c r="E395" s="131"/>
      <c r="F395" s="131"/>
      <c r="G395" s="14" t="s">
        <v>1165</v>
      </c>
      <c r="H395" s="24">
        <v>15</v>
      </c>
      <c r="I395" s="24">
        <v>0</v>
      </c>
      <c r="J395" s="24">
        <f t="shared" si="305"/>
        <v>0</v>
      </c>
      <c r="K395" s="24">
        <f t="shared" si="306"/>
        <v>0</v>
      </c>
      <c r="L395" s="24">
        <f t="shared" si="307"/>
        <v>0</v>
      </c>
      <c r="M395" s="24">
        <v>2.5000000000000001E-4</v>
      </c>
      <c r="N395" s="46">
        <f>H395*395</f>
        <v>5925</v>
      </c>
      <c r="O395" s="5"/>
      <c r="Z395" s="37">
        <f t="shared" si="308"/>
        <v>0</v>
      </c>
      <c r="AB395" s="37">
        <f t="shared" si="309"/>
        <v>0</v>
      </c>
      <c r="AC395" s="37">
        <f t="shared" si="310"/>
        <v>0</v>
      </c>
      <c r="AD395" s="37">
        <f t="shared" si="311"/>
        <v>0</v>
      </c>
      <c r="AE395" s="37">
        <f t="shared" si="312"/>
        <v>0</v>
      </c>
      <c r="AF395" s="37">
        <f t="shared" si="313"/>
        <v>0</v>
      </c>
      <c r="AG395" s="37">
        <f t="shared" si="314"/>
        <v>0</v>
      </c>
      <c r="AH395" s="37">
        <f t="shared" si="315"/>
        <v>0</v>
      </c>
      <c r="AI395" s="35"/>
      <c r="AJ395" s="24">
        <f t="shared" si="316"/>
        <v>0</v>
      </c>
      <c r="AK395" s="24">
        <f t="shared" si="317"/>
        <v>0</v>
      </c>
      <c r="AL395" s="24">
        <f t="shared" si="318"/>
        <v>0</v>
      </c>
      <c r="AN395" s="37">
        <v>21</v>
      </c>
      <c r="AO395" s="37">
        <f>I395*0.46875</f>
        <v>0</v>
      </c>
      <c r="AP395" s="37">
        <f>I395*(1-0.46875)</f>
        <v>0</v>
      </c>
      <c r="AQ395" s="38" t="s">
        <v>8</v>
      </c>
      <c r="AV395" s="37">
        <f t="shared" si="319"/>
        <v>0</v>
      </c>
      <c r="AW395" s="37">
        <f t="shared" si="320"/>
        <v>0</v>
      </c>
      <c r="AX395" s="37">
        <f t="shared" si="321"/>
        <v>0</v>
      </c>
      <c r="AY395" s="40" t="s">
        <v>1245</v>
      </c>
      <c r="AZ395" s="40" t="s">
        <v>1260</v>
      </c>
      <c r="BA395" s="35" t="s">
        <v>1262</v>
      </c>
      <c r="BC395" s="37">
        <f t="shared" si="322"/>
        <v>0</v>
      </c>
      <c r="BD395" s="37">
        <f t="shared" si="323"/>
        <v>0</v>
      </c>
      <c r="BE395" s="37">
        <v>0</v>
      </c>
      <c r="BF395" s="37">
        <f t="shared" si="324"/>
        <v>5925</v>
      </c>
      <c r="BH395" s="24">
        <f t="shared" si="325"/>
        <v>0</v>
      </c>
      <c r="BI395" s="24">
        <f t="shared" si="326"/>
        <v>0</v>
      </c>
      <c r="BJ395" s="24">
        <f t="shared" si="327"/>
        <v>0</v>
      </c>
      <c r="BK395" s="24" t="s">
        <v>1267</v>
      </c>
      <c r="BL395" s="37" t="s">
        <v>623</v>
      </c>
    </row>
    <row r="396" spans="1:64" x14ac:dyDescent="0.25">
      <c r="A396" s="4" t="s">
        <v>287</v>
      </c>
      <c r="B396" s="14" t="s">
        <v>636</v>
      </c>
      <c r="C396" s="130" t="s">
        <v>1053</v>
      </c>
      <c r="D396" s="131"/>
      <c r="E396" s="131"/>
      <c r="F396" s="131"/>
      <c r="G396" s="14" t="s">
        <v>1165</v>
      </c>
      <c r="H396" s="24">
        <v>90</v>
      </c>
      <c r="I396" s="24">
        <v>0</v>
      </c>
      <c r="J396" s="24">
        <f t="shared" si="305"/>
        <v>0</v>
      </c>
      <c r="K396" s="24">
        <f t="shared" si="306"/>
        <v>0</v>
      </c>
      <c r="L396" s="24">
        <f t="shared" si="307"/>
        <v>0</v>
      </c>
      <c r="M396" s="24">
        <v>1.3999999999999999E-4</v>
      </c>
      <c r="N396" s="46">
        <f>H396*396</f>
        <v>35640</v>
      </c>
      <c r="O396" s="5"/>
      <c r="Z396" s="37">
        <f t="shared" si="308"/>
        <v>0</v>
      </c>
      <c r="AB396" s="37">
        <f t="shared" si="309"/>
        <v>0</v>
      </c>
      <c r="AC396" s="37">
        <f t="shared" si="310"/>
        <v>0</v>
      </c>
      <c r="AD396" s="37">
        <f t="shared" si="311"/>
        <v>0</v>
      </c>
      <c r="AE396" s="37">
        <f t="shared" si="312"/>
        <v>0</v>
      </c>
      <c r="AF396" s="37">
        <f t="shared" si="313"/>
        <v>0</v>
      </c>
      <c r="AG396" s="37">
        <f t="shared" si="314"/>
        <v>0</v>
      </c>
      <c r="AH396" s="37">
        <f t="shared" si="315"/>
        <v>0</v>
      </c>
      <c r="AI396" s="35"/>
      <c r="AJ396" s="24">
        <f t="shared" si="316"/>
        <v>0</v>
      </c>
      <c r="AK396" s="24">
        <f t="shared" si="317"/>
        <v>0</v>
      </c>
      <c r="AL396" s="24">
        <f t="shared" si="318"/>
        <v>0</v>
      </c>
      <c r="AN396" s="37">
        <v>21</v>
      </c>
      <c r="AO396" s="37">
        <f>I396*0.212199036918138</f>
        <v>0</v>
      </c>
      <c r="AP396" s="37">
        <f>I396*(1-0.212199036918138)</f>
        <v>0</v>
      </c>
      <c r="AQ396" s="38" t="s">
        <v>8</v>
      </c>
      <c r="AV396" s="37">
        <f t="shared" si="319"/>
        <v>0</v>
      </c>
      <c r="AW396" s="37">
        <f t="shared" si="320"/>
        <v>0</v>
      </c>
      <c r="AX396" s="37">
        <f t="shared" si="321"/>
        <v>0</v>
      </c>
      <c r="AY396" s="40" t="s">
        <v>1245</v>
      </c>
      <c r="AZ396" s="40" t="s">
        <v>1260</v>
      </c>
      <c r="BA396" s="35" t="s">
        <v>1262</v>
      </c>
      <c r="BC396" s="37">
        <f t="shared" si="322"/>
        <v>0</v>
      </c>
      <c r="BD396" s="37">
        <f t="shared" si="323"/>
        <v>0</v>
      </c>
      <c r="BE396" s="37">
        <v>0</v>
      </c>
      <c r="BF396" s="37">
        <f t="shared" si="324"/>
        <v>35640</v>
      </c>
      <c r="BH396" s="24">
        <f t="shared" si="325"/>
        <v>0</v>
      </c>
      <c r="BI396" s="24">
        <f t="shared" si="326"/>
        <v>0</v>
      </c>
      <c r="BJ396" s="24">
        <f t="shared" si="327"/>
        <v>0</v>
      </c>
      <c r="BK396" s="24" t="s">
        <v>1267</v>
      </c>
      <c r="BL396" s="37" t="s">
        <v>623</v>
      </c>
    </row>
    <row r="397" spans="1:64" x14ac:dyDescent="0.25">
      <c r="A397" s="4" t="s">
        <v>288</v>
      </c>
      <c r="B397" s="14" t="s">
        <v>637</v>
      </c>
      <c r="C397" s="130" t="s">
        <v>1054</v>
      </c>
      <c r="D397" s="131"/>
      <c r="E397" s="131"/>
      <c r="F397" s="131"/>
      <c r="G397" s="14" t="s">
        <v>1170</v>
      </c>
      <c r="H397" s="24">
        <v>8</v>
      </c>
      <c r="I397" s="24">
        <v>0</v>
      </c>
      <c r="J397" s="24">
        <f t="shared" si="305"/>
        <v>0</v>
      </c>
      <c r="K397" s="24">
        <f t="shared" si="306"/>
        <v>0</v>
      </c>
      <c r="L397" s="24">
        <f t="shared" si="307"/>
        <v>0</v>
      </c>
      <c r="M397" s="24">
        <v>0</v>
      </c>
      <c r="N397" s="46">
        <f>H397*397</f>
        <v>3176</v>
      </c>
      <c r="O397" s="5"/>
      <c r="Z397" s="37">
        <f t="shared" si="308"/>
        <v>0</v>
      </c>
      <c r="AB397" s="37">
        <f t="shared" si="309"/>
        <v>0</v>
      </c>
      <c r="AC397" s="37">
        <f t="shared" si="310"/>
        <v>0</v>
      </c>
      <c r="AD397" s="37">
        <f t="shared" si="311"/>
        <v>0</v>
      </c>
      <c r="AE397" s="37">
        <f t="shared" si="312"/>
        <v>0</v>
      </c>
      <c r="AF397" s="37">
        <f t="shared" si="313"/>
        <v>0</v>
      </c>
      <c r="AG397" s="37">
        <f t="shared" si="314"/>
        <v>0</v>
      </c>
      <c r="AH397" s="37">
        <f t="shared" si="315"/>
        <v>0</v>
      </c>
      <c r="AI397" s="35"/>
      <c r="AJ397" s="24">
        <f t="shared" si="316"/>
        <v>0</v>
      </c>
      <c r="AK397" s="24">
        <f t="shared" si="317"/>
        <v>0</v>
      </c>
      <c r="AL397" s="24">
        <f t="shared" si="318"/>
        <v>0</v>
      </c>
      <c r="AN397" s="37">
        <v>21</v>
      </c>
      <c r="AO397" s="37">
        <f>I397*0.240601503759398</f>
        <v>0</v>
      </c>
      <c r="AP397" s="37">
        <f>I397*(1-0.240601503759398)</f>
        <v>0</v>
      </c>
      <c r="AQ397" s="38" t="s">
        <v>8</v>
      </c>
      <c r="AV397" s="37">
        <f t="shared" si="319"/>
        <v>0</v>
      </c>
      <c r="AW397" s="37">
        <f t="shared" si="320"/>
        <v>0</v>
      </c>
      <c r="AX397" s="37">
        <f t="shared" si="321"/>
        <v>0</v>
      </c>
      <c r="AY397" s="40" t="s">
        <v>1245</v>
      </c>
      <c r="AZ397" s="40" t="s">
        <v>1260</v>
      </c>
      <c r="BA397" s="35" t="s">
        <v>1262</v>
      </c>
      <c r="BC397" s="37">
        <f t="shared" si="322"/>
        <v>0</v>
      </c>
      <c r="BD397" s="37">
        <f t="shared" si="323"/>
        <v>0</v>
      </c>
      <c r="BE397" s="37">
        <v>0</v>
      </c>
      <c r="BF397" s="37">
        <f t="shared" si="324"/>
        <v>3176</v>
      </c>
      <c r="BH397" s="24">
        <f t="shared" si="325"/>
        <v>0</v>
      </c>
      <c r="BI397" s="24">
        <f t="shared" si="326"/>
        <v>0</v>
      </c>
      <c r="BJ397" s="24">
        <f t="shared" si="327"/>
        <v>0</v>
      </c>
      <c r="BK397" s="24" t="s">
        <v>1267</v>
      </c>
      <c r="BL397" s="37" t="s">
        <v>623</v>
      </c>
    </row>
    <row r="398" spans="1:64" x14ac:dyDescent="0.25">
      <c r="A398" s="4" t="s">
        <v>289</v>
      </c>
      <c r="B398" s="14" t="s">
        <v>638</v>
      </c>
      <c r="C398" s="130" t="s">
        <v>1055</v>
      </c>
      <c r="D398" s="131"/>
      <c r="E398" s="131"/>
      <c r="F398" s="131"/>
      <c r="G398" s="14" t="s">
        <v>1170</v>
      </c>
      <c r="H398" s="24">
        <v>40</v>
      </c>
      <c r="I398" s="24">
        <v>0</v>
      </c>
      <c r="J398" s="24">
        <f t="shared" si="305"/>
        <v>0</v>
      </c>
      <c r="K398" s="24">
        <f t="shared" si="306"/>
        <v>0</v>
      </c>
      <c r="L398" s="24">
        <f t="shared" si="307"/>
        <v>0</v>
      </c>
      <c r="M398" s="24">
        <v>0</v>
      </c>
      <c r="N398" s="46">
        <f>H398*398</f>
        <v>15920</v>
      </c>
      <c r="O398" s="5"/>
      <c r="Z398" s="37">
        <f t="shared" si="308"/>
        <v>0</v>
      </c>
      <c r="AB398" s="37">
        <f t="shared" si="309"/>
        <v>0</v>
      </c>
      <c r="AC398" s="37">
        <f t="shared" si="310"/>
        <v>0</v>
      </c>
      <c r="AD398" s="37">
        <f t="shared" si="311"/>
        <v>0</v>
      </c>
      <c r="AE398" s="37">
        <f t="shared" si="312"/>
        <v>0</v>
      </c>
      <c r="AF398" s="37">
        <f t="shared" si="313"/>
        <v>0</v>
      </c>
      <c r="AG398" s="37">
        <f t="shared" si="314"/>
        <v>0</v>
      </c>
      <c r="AH398" s="37">
        <f t="shared" si="315"/>
        <v>0</v>
      </c>
      <c r="AI398" s="35"/>
      <c r="AJ398" s="24">
        <f t="shared" si="316"/>
        <v>0</v>
      </c>
      <c r="AK398" s="24">
        <f t="shared" si="317"/>
        <v>0</v>
      </c>
      <c r="AL398" s="24">
        <f t="shared" si="318"/>
        <v>0</v>
      </c>
      <c r="AN398" s="37">
        <v>21</v>
      </c>
      <c r="AO398" s="37">
        <f>I398*0.0342049005097846</f>
        <v>0</v>
      </c>
      <c r="AP398" s="37">
        <f>I398*(1-0.0342049005097846)</f>
        <v>0</v>
      </c>
      <c r="AQ398" s="38" t="s">
        <v>8</v>
      </c>
      <c r="AV398" s="37">
        <f t="shared" si="319"/>
        <v>0</v>
      </c>
      <c r="AW398" s="37">
        <f t="shared" si="320"/>
        <v>0</v>
      </c>
      <c r="AX398" s="37">
        <f t="shared" si="321"/>
        <v>0</v>
      </c>
      <c r="AY398" s="40" t="s">
        <v>1245</v>
      </c>
      <c r="AZ398" s="40" t="s">
        <v>1260</v>
      </c>
      <c r="BA398" s="35" t="s">
        <v>1262</v>
      </c>
      <c r="BC398" s="37">
        <f t="shared" si="322"/>
        <v>0</v>
      </c>
      <c r="BD398" s="37">
        <f t="shared" si="323"/>
        <v>0</v>
      </c>
      <c r="BE398" s="37">
        <v>0</v>
      </c>
      <c r="BF398" s="37">
        <f t="shared" si="324"/>
        <v>15920</v>
      </c>
      <c r="BH398" s="24">
        <f t="shared" si="325"/>
        <v>0</v>
      </c>
      <c r="BI398" s="24">
        <f t="shared" si="326"/>
        <v>0</v>
      </c>
      <c r="BJ398" s="24">
        <f t="shared" si="327"/>
        <v>0</v>
      </c>
      <c r="BK398" s="24" t="s">
        <v>1267</v>
      </c>
      <c r="BL398" s="37" t="s">
        <v>623</v>
      </c>
    </row>
    <row r="399" spans="1:64" x14ac:dyDescent="0.25">
      <c r="A399" s="4" t="s">
        <v>290</v>
      </c>
      <c r="B399" s="14" t="s">
        <v>639</v>
      </c>
      <c r="C399" s="130" t="s">
        <v>1056</v>
      </c>
      <c r="D399" s="131"/>
      <c r="E399" s="131"/>
      <c r="F399" s="131"/>
      <c r="G399" s="14" t="s">
        <v>1170</v>
      </c>
      <c r="H399" s="24">
        <v>1</v>
      </c>
      <c r="I399" s="24">
        <v>0</v>
      </c>
      <c r="J399" s="24">
        <f t="shared" si="305"/>
        <v>0</v>
      </c>
      <c r="K399" s="24">
        <f t="shared" si="306"/>
        <v>0</v>
      </c>
      <c r="L399" s="24">
        <f t="shared" si="307"/>
        <v>0</v>
      </c>
      <c r="M399" s="24">
        <v>1E-3</v>
      </c>
      <c r="N399" s="46">
        <f>H399*399</f>
        <v>399</v>
      </c>
      <c r="O399" s="5"/>
      <c r="Z399" s="37">
        <f t="shared" si="308"/>
        <v>0</v>
      </c>
      <c r="AB399" s="37">
        <f t="shared" si="309"/>
        <v>0</v>
      </c>
      <c r="AC399" s="37">
        <f t="shared" si="310"/>
        <v>0</v>
      </c>
      <c r="AD399" s="37">
        <f t="shared" si="311"/>
        <v>0</v>
      </c>
      <c r="AE399" s="37">
        <f t="shared" si="312"/>
        <v>0</v>
      </c>
      <c r="AF399" s="37">
        <f t="shared" si="313"/>
        <v>0</v>
      </c>
      <c r="AG399" s="37">
        <f t="shared" si="314"/>
        <v>0</v>
      </c>
      <c r="AH399" s="37">
        <f t="shared" si="315"/>
        <v>0</v>
      </c>
      <c r="AI399" s="35"/>
      <c r="AJ399" s="24">
        <f t="shared" si="316"/>
        <v>0</v>
      </c>
      <c r="AK399" s="24">
        <f t="shared" si="317"/>
        <v>0</v>
      </c>
      <c r="AL399" s="24">
        <f t="shared" si="318"/>
        <v>0</v>
      </c>
      <c r="AN399" s="37">
        <v>21</v>
      </c>
      <c r="AO399" s="37">
        <f>I399*0.880281690140845</f>
        <v>0</v>
      </c>
      <c r="AP399" s="37">
        <f>I399*(1-0.880281690140845)</f>
        <v>0</v>
      </c>
      <c r="AQ399" s="38" t="s">
        <v>8</v>
      </c>
      <c r="AV399" s="37">
        <f t="shared" si="319"/>
        <v>0</v>
      </c>
      <c r="AW399" s="37">
        <f t="shared" si="320"/>
        <v>0</v>
      </c>
      <c r="AX399" s="37">
        <f t="shared" si="321"/>
        <v>0</v>
      </c>
      <c r="AY399" s="40" t="s">
        <v>1245</v>
      </c>
      <c r="AZ399" s="40" t="s">
        <v>1260</v>
      </c>
      <c r="BA399" s="35" t="s">
        <v>1262</v>
      </c>
      <c r="BC399" s="37">
        <f t="shared" si="322"/>
        <v>0</v>
      </c>
      <c r="BD399" s="37">
        <f t="shared" si="323"/>
        <v>0</v>
      </c>
      <c r="BE399" s="37">
        <v>0</v>
      </c>
      <c r="BF399" s="37">
        <f t="shared" si="324"/>
        <v>399</v>
      </c>
      <c r="BH399" s="24">
        <f t="shared" si="325"/>
        <v>0</v>
      </c>
      <c r="BI399" s="24">
        <f t="shared" si="326"/>
        <v>0</v>
      </c>
      <c r="BJ399" s="24">
        <f t="shared" si="327"/>
        <v>0</v>
      </c>
      <c r="BK399" s="24" t="s">
        <v>1267</v>
      </c>
      <c r="BL399" s="37" t="s">
        <v>623</v>
      </c>
    </row>
    <row r="400" spans="1:64" x14ac:dyDescent="0.25">
      <c r="A400" s="5"/>
      <c r="C400" s="18"/>
      <c r="F400" s="20" t="s">
        <v>1144</v>
      </c>
      <c r="H400" s="25">
        <v>0</v>
      </c>
      <c r="N400" s="36"/>
      <c r="O400" s="5"/>
    </row>
    <row r="401" spans="1:64" x14ac:dyDescent="0.25">
      <c r="A401" s="4" t="s">
        <v>291</v>
      </c>
      <c r="B401" s="14" t="s">
        <v>640</v>
      </c>
      <c r="C401" s="130" t="s">
        <v>1057</v>
      </c>
      <c r="D401" s="131"/>
      <c r="E401" s="131"/>
      <c r="F401" s="131"/>
      <c r="G401" s="14" t="s">
        <v>1170</v>
      </c>
      <c r="H401" s="24">
        <v>1</v>
      </c>
      <c r="I401" s="24">
        <v>0</v>
      </c>
      <c r="J401" s="24">
        <f t="shared" ref="J401:J408" si="328">H401*AO401</f>
        <v>0</v>
      </c>
      <c r="K401" s="24">
        <f t="shared" ref="K401:K408" si="329">H401*AP401</f>
        <v>0</v>
      </c>
      <c r="L401" s="24">
        <f t="shared" ref="L401:L408" si="330">H401*I401</f>
        <v>0</v>
      </c>
      <c r="M401" s="24">
        <v>0.01</v>
      </c>
      <c r="N401" s="46">
        <f>H401*401</f>
        <v>401</v>
      </c>
      <c r="O401" s="5"/>
      <c r="Z401" s="37">
        <f t="shared" ref="Z401:Z408" si="331">IF(AQ401="5",BJ401,0)</f>
        <v>0</v>
      </c>
      <c r="AB401" s="37">
        <f t="shared" ref="AB401:AB408" si="332">IF(AQ401="1",BH401,0)</f>
        <v>0</v>
      </c>
      <c r="AC401" s="37">
        <f t="shared" ref="AC401:AC408" si="333">IF(AQ401="1",BI401,0)</f>
        <v>0</v>
      </c>
      <c r="AD401" s="37">
        <f t="shared" ref="AD401:AD408" si="334">IF(AQ401="7",BH401,0)</f>
        <v>0</v>
      </c>
      <c r="AE401" s="37">
        <f t="shared" ref="AE401:AE408" si="335">IF(AQ401="7",BI401,0)</f>
        <v>0</v>
      </c>
      <c r="AF401" s="37">
        <f t="shared" ref="AF401:AF408" si="336">IF(AQ401="2",BH401,0)</f>
        <v>0</v>
      </c>
      <c r="AG401" s="37">
        <f t="shared" ref="AG401:AG408" si="337">IF(AQ401="2",BI401,0)</f>
        <v>0</v>
      </c>
      <c r="AH401" s="37">
        <f t="shared" ref="AH401:AH408" si="338">IF(AQ401="0",BJ401,0)</f>
        <v>0</v>
      </c>
      <c r="AI401" s="35"/>
      <c r="AJ401" s="24">
        <f t="shared" ref="AJ401:AJ408" si="339">IF(AN401=0,L401,0)</f>
        <v>0</v>
      </c>
      <c r="AK401" s="24">
        <f t="shared" ref="AK401:AK408" si="340">IF(AN401=15,L401,0)</f>
        <v>0</v>
      </c>
      <c r="AL401" s="24">
        <f t="shared" ref="AL401:AL408" si="341">IF(AN401=21,L401,0)</f>
        <v>0</v>
      </c>
      <c r="AN401" s="37">
        <v>21</v>
      </c>
      <c r="AO401" s="37">
        <f>I401*0.685606060606061</f>
        <v>0</v>
      </c>
      <c r="AP401" s="37">
        <f>I401*(1-0.685606060606061)</f>
        <v>0</v>
      </c>
      <c r="AQ401" s="38" t="s">
        <v>8</v>
      </c>
      <c r="AV401" s="37">
        <f t="shared" ref="AV401:AV408" si="342">AW401+AX401</f>
        <v>0</v>
      </c>
      <c r="AW401" s="37">
        <f t="shared" ref="AW401:AW408" si="343">H401*AO401</f>
        <v>0</v>
      </c>
      <c r="AX401" s="37">
        <f t="shared" ref="AX401:AX408" si="344">H401*AP401</f>
        <v>0</v>
      </c>
      <c r="AY401" s="40" t="s">
        <v>1245</v>
      </c>
      <c r="AZ401" s="40" t="s">
        <v>1260</v>
      </c>
      <c r="BA401" s="35" t="s">
        <v>1262</v>
      </c>
      <c r="BC401" s="37">
        <f t="shared" ref="BC401:BC408" si="345">AW401+AX401</f>
        <v>0</v>
      </c>
      <c r="BD401" s="37">
        <f t="shared" ref="BD401:BD408" si="346">I401/(100-BE401)*100</f>
        <v>0</v>
      </c>
      <c r="BE401" s="37">
        <v>0</v>
      </c>
      <c r="BF401" s="37">
        <f t="shared" ref="BF401:BF408" si="347">N401</f>
        <v>401</v>
      </c>
      <c r="BH401" s="24">
        <f t="shared" ref="BH401:BH408" si="348">H401*AO401</f>
        <v>0</v>
      </c>
      <c r="BI401" s="24">
        <f t="shared" ref="BI401:BI408" si="349">H401*AP401</f>
        <v>0</v>
      </c>
      <c r="BJ401" s="24">
        <f t="shared" ref="BJ401:BJ408" si="350">H401*I401</f>
        <v>0</v>
      </c>
      <c r="BK401" s="24" t="s">
        <v>1267</v>
      </c>
      <c r="BL401" s="37" t="s">
        <v>623</v>
      </c>
    </row>
    <row r="402" spans="1:64" x14ac:dyDescent="0.25">
      <c r="A402" s="4" t="s">
        <v>292</v>
      </c>
      <c r="B402" s="14" t="s">
        <v>641</v>
      </c>
      <c r="C402" s="130" t="s">
        <v>1058</v>
      </c>
      <c r="D402" s="131"/>
      <c r="E402" s="131"/>
      <c r="F402" s="131"/>
      <c r="G402" s="14" t="s">
        <v>1170</v>
      </c>
      <c r="H402" s="24">
        <v>1</v>
      </c>
      <c r="I402" s="24">
        <v>0</v>
      </c>
      <c r="J402" s="24">
        <f t="shared" si="328"/>
        <v>0</v>
      </c>
      <c r="K402" s="24">
        <f t="shared" si="329"/>
        <v>0</v>
      </c>
      <c r="L402" s="24">
        <f t="shared" si="330"/>
        <v>0</v>
      </c>
      <c r="M402" s="24">
        <v>1E-3</v>
      </c>
      <c r="N402" s="46">
        <f>H402*402</f>
        <v>402</v>
      </c>
      <c r="O402" s="5"/>
      <c r="Z402" s="37">
        <f t="shared" si="331"/>
        <v>0</v>
      </c>
      <c r="AB402" s="37">
        <f t="shared" si="332"/>
        <v>0</v>
      </c>
      <c r="AC402" s="37">
        <f t="shared" si="333"/>
        <v>0</v>
      </c>
      <c r="AD402" s="37">
        <f t="shared" si="334"/>
        <v>0</v>
      </c>
      <c r="AE402" s="37">
        <f t="shared" si="335"/>
        <v>0</v>
      </c>
      <c r="AF402" s="37">
        <f t="shared" si="336"/>
        <v>0</v>
      </c>
      <c r="AG402" s="37">
        <f t="shared" si="337"/>
        <v>0</v>
      </c>
      <c r="AH402" s="37">
        <f t="shared" si="338"/>
        <v>0</v>
      </c>
      <c r="AI402" s="35"/>
      <c r="AJ402" s="24">
        <f t="shared" si="339"/>
        <v>0</v>
      </c>
      <c r="AK402" s="24">
        <f t="shared" si="340"/>
        <v>0</v>
      </c>
      <c r="AL402" s="24">
        <f t="shared" si="341"/>
        <v>0</v>
      </c>
      <c r="AN402" s="37">
        <v>21</v>
      </c>
      <c r="AO402" s="37">
        <f>I402*0.800198807157058</f>
        <v>0</v>
      </c>
      <c r="AP402" s="37">
        <f>I402*(1-0.800198807157058)</f>
        <v>0</v>
      </c>
      <c r="AQ402" s="38" t="s">
        <v>8</v>
      </c>
      <c r="AV402" s="37">
        <f t="shared" si="342"/>
        <v>0</v>
      </c>
      <c r="AW402" s="37">
        <f t="shared" si="343"/>
        <v>0</v>
      </c>
      <c r="AX402" s="37">
        <f t="shared" si="344"/>
        <v>0</v>
      </c>
      <c r="AY402" s="40" t="s">
        <v>1245</v>
      </c>
      <c r="AZ402" s="40" t="s">
        <v>1260</v>
      </c>
      <c r="BA402" s="35" t="s">
        <v>1262</v>
      </c>
      <c r="BC402" s="37">
        <f t="shared" si="345"/>
        <v>0</v>
      </c>
      <c r="BD402" s="37">
        <f t="shared" si="346"/>
        <v>0</v>
      </c>
      <c r="BE402" s="37">
        <v>0</v>
      </c>
      <c r="BF402" s="37">
        <f t="shared" si="347"/>
        <v>402</v>
      </c>
      <c r="BH402" s="24">
        <f t="shared" si="348"/>
        <v>0</v>
      </c>
      <c r="BI402" s="24">
        <f t="shared" si="349"/>
        <v>0</v>
      </c>
      <c r="BJ402" s="24">
        <f t="shared" si="350"/>
        <v>0</v>
      </c>
      <c r="BK402" s="24" t="s">
        <v>1267</v>
      </c>
      <c r="BL402" s="37" t="s">
        <v>623</v>
      </c>
    </row>
    <row r="403" spans="1:64" x14ac:dyDescent="0.25">
      <c r="A403" s="4" t="s">
        <v>293</v>
      </c>
      <c r="B403" s="14" t="s">
        <v>641</v>
      </c>
      <c r="C403" s="130" t="s">
        <v>1059</v>
      </c>
      <c r="D403" s="131"/>
      <c r="E403" s="131"/>
      <c r="F403" s="131"/>
      <c r="G403" s="14" t="s">
        <v>1170</v>
      </c>
      <c r="H403" s="24">
        <v>1</v>
      </c>
      <c r="I403" s="24">
        <v>0</v>
      </c>
      <c r="J403" s="24">
        <f t="shared" si="328"/>
        <v>0</v>
      </c>
      <c r="K403" s="24">
        <f t="shared" si="329"/>
        <v>0</v>
      </c>
      <c r="L403" s="24">
        <f t="shared" si="330"/>
        <v>0</v>
      </c>
      <c r="M403" s="24">
        <v>1E-3</v>
      </c>
      <c r="N403" s="46">
        <f>H403*403</f>
        <v>403</v>
      </c>
      <c r="O403" s="5"/>
      <c r="Z403" s="37">
        <f t="shared" si="331"/>
        <v>0</v>
      </c>
      <c r="AB403" s="37">
        <f t="shared" si="332"/>
        <v>0</v>
      </c>
      <c r="AC403" s="37">
        <f t="shared" si="333"/>
        <v>0</v>
      </c>
      <c r="AD403" s="37">
        <f t="shared" si="334"/>
        <v>0</v>
      </c>
      <c r="AE403" s="37">
        <f t="shared" si="335"/>
        <v>0</v>
      </c>
      <c r="AF403" s="37">
        <f t="shared" si="336"/>
        <v>0</v>
      </c>
      <c r="AG403" s="37">
        <f t="shared" si="337"/>
        <v>0</v>
      </c>
      <c r="AH403" s="37">
        <f t="shared" si="338"/>
        <v>0</v>
      </c>
      <c r="AI403" s="35"/>
      <c r="AJ403" s="24">
        <f t="shared" si="339"/>
        <v>0</v>
      </c>
      <c r="AK403" s="24">
        <f t="shared" si="340"/>
        <v>0</v>
      </c>
      <c r="AL403" s="24">
        <f t="shared" si="341"/>
        <v>0</v>
      </c>
      <c r="AN403" s="37">
        <v>21</v>
      </c>
      <c r="AO403" s="37">
        <f>I403*0.800198807157058</f>
        <v>0</v>
      </c>
      <c r="AP403" s="37">
        <f>I403*(1-0.800198807157058)</f>
        <v>0</v>
      </c>
      <c r="AQ403" s="38" t="s">
        <v>8</v>
      </c>
      <c r="AV403" s="37">
        <f t="shared" si="342"/>
        <v>0</v>
      </c>
      <c r="AW403" s="37">
        <f t="shared" si="343"/>
        <v>0</v>
      </c>
      <c r="AX403" s="37">
        <f t="shared" si="344"/>
        <v>0</v>
      </c>
      <c r="AY403" s="40" t="s">
        <v>1245</v>
      </c>
      <c r="AZ403" s="40" t="s">
        <v>1260</v>
      </c>
      <c r="BA403" s="35" t="s">
        <v>1262</v>
      </c>
      <c r="BC403" s="37">
        <f t="shared" si="345"/>
        <v>0</v>
      </c>
      <c r="BD403" s="37">
        <f t="shared" si="346"/>
        <v>0</v>
      </c>
      <c r="BE403" s="37">
        <v>0</v>
      </c>
      <c r="BF403" s="37">
        <f t="shared" si="347"/>
        <v>403</v>
      </c>
      <c r="BH403" s="24">
        <f t="shared" si="348"/>
        <v>0</v>
      </c>
      <c r="BI403" s="24">
        <f t="shared" si="349"/>
        <v>0</v>
      </c>
      <c r="BJ403" s="24">
        <f t="shared" si="350"/>
        <v>0</v>
      </c>
      <c r="BK403" s="24" t="s">
        <v>1267</v>
      </c>
      <c r="BL403" s="37" t="s">
        <v>623</v>
      </c>
    </row>
    <row r="404" spans="1:64" x14ac:dyDescent="0.25">
      <c r="A404" s="4" t="s">
        <v>294</v>
      </c>
      <c r="B404" s="14" t="s">
        <v>642</v>
      </c>
      <c r="C404" s="130" t="s">
        <v>1060</v>
      </c>
      <c r="D404" s="131"/>
      <c r="E404" s="131"/>
      <c r="F404" s="131"/>
      <c r="G404" s="14" t="s">
        <v>1170</v>
      </c>
      <c r="H404" s="24">
        <v>3</v>
      </c>
      <c r="I404" s="24">
        <v>0</v>
      </c>
      <c r="J404" s="24">
        <f t="shared" si="328"/>
        <v>0</v>
      </c>
      <c r="K404" s="24">
        <f t="shared" si="329"/>
        <v>0</v>
      </c>
      <c r="L404" s="24">
        <f t="shared" si="330"/>
        <v>0</v>
      </c>
      <c r="M404" s="24">
        <v>0</v>
      </c>
      <c r="N404" s="46">
        <f>H404*404</f>
        <v>1212</v>
      </c>
      <c r="O404" s="5"/>
      <c r="Z404" s="37">
        <f t="shared" si="331"/>
        <v>0</v>
      </c>
      <c r="AB404" s="37">
        <f t="shared" si="332"/>
        <v>0</v>
      </c>
      <c r="AC404" s="37">
        <f t="shared" si="333"/>
        <v>0</v>
      </c>
      <c r="AD404" s="37">
        <f t="shared" si="334"/>
        <v>0</v>
      </c>
      <c r="AE404" s="37">
        <f t="shared" si="335"/>
        <v>0</v>
      </c>
      <c r="AF404" s="37">
        <f t="shared" si="336"/>
        <v>0</v>
      </c>
      <c r="AG404" s="37">
        <f t="shared" si="337"/>
        <v>0</v>
      </c>
      <c r="AH404" s="37">
        <f t="shared" si="338"/>
        <v>0</v>
      </c>
      <c r="AI404" s="35"/>
      <c r="AJ404" s="24">
        <f t="shared" si="339"/>
        <v>0</v>
      </c>
      <c r="AK404" s="24">
        <f t="shared" si="340"/>
        <v>0</v>
      </c>
      <c r="AL404" s="24">
        <f t="shared" si="341"/>
        <v>0</v>
      </c>
      <c r="AN404" s="37">
        <v>21</v>
      </c>
      <c r="AO404" s="37">
        <f>I404*0.556957462148522</f>
        <v>0</v>
      </c>
      <c r="AP404" s="37">
        <f>I404*(1-0.556957462148522)</f>
        <v>0</v>
      </c>
      <c r="AQ404" s="38" t="s">
        <v>8</v>
      </c>
      <c r="AV404" s="37">
        <f t="shared" si="342"/>
        <v>0</v>
      </c>
      <c r="AW404" s="37">
        <f t="shared" si="343"/>
        <v>0</v>
      </c>
      <c r="AX404" s="37">
        <f t="shared" si="344"/>
        <v>0</v>
      </c>
      <c r="AY404" s="40" t="s">
        <v>1245</v>
      </c>
      <c r="AZ404" s="40" t="s">
        <v>1260</v>
      </c>
      <c r="BA404" s="35" t="s">
        <v>1262</v>
      </c>
      <c r="BC404" s="37">
        <f t="shared" si="345"/>
        <v>0</v>
      </c>
      <c r="BD404" s="37">
        <f t="shared" si="346"/>
        <v>0</v>
      </c>
      <c r="BE404" s="37">
        <v>0</v>
      </c>
      <c r="BF404" s="37">
        <f t="shared" si="347"/>
        <v>1212</v>
      </c>
      <c r="BH404" s="24">
        <f t="shared" si="348"/>
        <v>0</v>
      </c>
      <c r="BI404" s="24">
        <f t="shared" si="349"/>
        <v>0</v>
      </c>
      <c r="BJ404" s="24">
        <f t="shared" si="350"/>
        <v>0</v>
      </c>
      <c r="BK404" s="24" t="s">
        <v>1267</v>
      </c>
      <c r="BL404" s="37" t="s">
        <v>623</v>
      </c>
    </row>
    <row r="405" spans="1:64" x14ac:dyDescent="0.25">
      <c r="A405" s="4" t="s">
        <v>295</v>
      </c>
      <c r="B405" s="14" t="s">
        <v>643</v>
      </c>
      <c r="C405" s="130" t="s">
        <v>1061</v>
      </c>
      <c r="D405" s="131"/>
      <c r="E405" s="131"/>
      <c r="F405" s="131"/>
      <c r="G405" s="14" t="s">
        <v>1170</v>
      </c>
      <c r="H405" s="24">
        <v>1</v>
      </c>
      <c r="I405" s="24">
        <v>0</v>
      </c>
      <c r="J405" s="24">
        <f t="shared" si="328"/>
        <v>0</v>
      </c>
      <c r="K405" s="24">
        <f t="shared" si="329"/>
        <v>0</v>
      </c>
      <c r="L405" s="24">
        <f t="shared" si="330"/>
        <v>0</v>
      </c>
      <c r="M405" s="24">
        <v>0</v>
      </c>
      <c r="N405" s="46">
        <f>H405*405</f>
        <v>405</v>
      </c>
      <c r="O405" s="5"/>
      <c r="Z405" s="37">
        <f t="shared" si="331"/>
        <v>0</v>
      </c>
      <c r="AB405" s="37">
        <f t="shared" si="332"/>
        <v>0</v>
      </c>
      <c r="AC405" s="37">
        <f t="shared" si="333"/>
        <v>0</v>
      </c>
      <c r="AD405" s="37">
        <f t="shared" si="334"/>
        <v>0</v>
      </c>
      <c r="AE405" s="37">
        <f t="shared" si="335"/>
        <v>0</v>
      </c>
      <c r="AF405" s="37">
        <f t="shared" si="336"/>
        <v>0</v>
      </c>
      <c r="AG405" s="37">
        <f t="shared" si="337"/>
        <v>0</v>
      </c>
      <c r="AH405" s="37">
        <f t="shared" si="338"/>
        <v>0</v>
      </c>
      <c r="AI405" s="35"/>
      <c r="AJ405" s="24">
        <f t="shared" si="339"/>
        <v>0</v>
      </c>
      <c r="AK405" s="24">
        <f t="shared" si="340"/>
        <v>0</v>
      </c>
      <c r="AL405" s="24">
        <f t="shared" si="341"/>
        <v>0</v>
      </c>
      <c r="AN405" s="37">
        <v>21</v>
      </c>
      <c r="AO405" s="37">
        <f>I405*0.659442724458204</f>
        <v>0</v>
      </c>
      <c r="AP405" s="37">
        <f>I405*(1-0.659442724458204)</f>
        <v>0</v>
      </c>
      <c r="AQ405" s="38" t="s">
        <v>8</v>
      </c>
      <c r="AV405" s="37">
        <f t="shared" si="342"/>
        <v>0</v>
      </c>
      <c r="AW405" s="37">
        <f t="shared" si="343"/>
        <v>0</v>
      </c>
      <c r="AX405" s="37">
        <f t="shared" si="344"/>
        <v>0</v>
      </c>
      <c r="AY405" s="40" t="s">
        <v>1245</v>
      </c>
      <c r="AZ405" s="40" t="s">
        <v>1260</v>
      </c>
      <c r="BA405" s="35" t="s">
        <v>1262</v>
      </c>
      <c r="BC405" s="37">
        <f t="shared" si="345"/>
        <v>0</v>
      </c>
      <c r="BD405" s="37">
        <f t="shared" si="346"/>
        <v>0</v>
      </c>
      <c r="BE405" s="37">
        <v>0</v>
      </c>
      <c r="BF405" s="37">
        <f t="shared" si="347"/>
        <v>405</v>
      </c>
      <c r="BH405" s="24">
        <f t="shared" si="348"/>
        <v>0</v>
      </c>
      <c r="BI405" s="24">
        <f t="shared" si="349"/>
        <v>0</v>
      </c>
      <c r="BJ405" s="24">
        <f t="shared" si="350"/>
        <v>0</v>
      </c>
      <c r="BK405" s="24" t="s">
        <v>1267</v>
      </c>
      <c r="BL405" s="37" t="s">
        <v>623</v>
      </c>
    </row>
    <row r="406" spans="1:64" x14ac:dyDescent="0.25">
      <c r="A406" s="4" t="s">
        <v>296</v>
      </c>
      <c r="B406" s="14" t="s">
        <v>644</v>
      </c>
      <c r="C406" s="130" t="s">
        <v>1062</v>
      </c>
      <c r="D406" s="131"/>
      <c r="E406" s="131"/>
      <c r="F406" s="131"/>
      <c r="G406" s="14" t="s">
        <v>1170</v>
      </c>
      <c r="H406" s="24">
        <v>4</v>
      </c>
      <c r="I406" s="24">
        <v>0</v>
      </c>
      <c r="J406" s="24">
        <f t="shared" si="328"/>
        <v>0</v>
      </c>
      <c r="K406" s="24">
        <f t="shared" si="329"/>
        <v>0</v>
      </c>
      <c r="L406" s="24">
        <f t="shared" si="330"/>
        <v>0</v>
      </c>
      <c r="M406" s="24">
        <v>1.8000000000000001E-4</v>
      </c>
      <c r="N406" s="46">
        <f>H406*406</f>
        <v>1624</v>
      </c>
      <c r="O406" s="5"/>
      <c r="Z406" s="37">
        <f t="shared" si="331"/>
        <v>0</v>
      </c>
      <c r="AB406" s="37">
        <f t="shared" si="332"/>
        <v>0</v>
      </c>
      <c r="AC406" s="37">
        <f t="shared" si="333"/>
        <v>0</v>
      </c>
      <c r="AD406" s="37">
        <f t="shared" si="334"/>
        <v>0</v>
      </c>
      <c r="AE406" s="37">
        <f t="shared" si="335"/>
        <v>0</v>
      </c>
      <c r="AF406" s="37">
        <f t="shared" si="336"/>
        <v>0</v>
      </c>
      <c r="AG406" s="37">
        <f t="shared" si="337"/>
        <v>0</v>
      </c>
      <c r="AH406" s="37">
        <f t="shared" si="338"/>
        <v>0</v>
      </c>
      <c r="AI406" s="35"/>
      <c r="AJ406" s="24">
        <f t="shared" si="339"/>
        <v>0</v>
      </c>
      <c r="AK406" s="24">
        <f t="shared" si="340"/>
        <v>0</v>
      </c>
      <c r="AL406" s="24">
        <f t="shared" si="341"/>
        <v>0</v>
      </c>
      <c r="AN406" s="37">
        <v>21</v>
      </c>
      <c r="AO406" s="37">
        <f>I406*0.308681672025723</f>
        <v>0</v>
      </c>
      <c r="AP406" s="37">
        <f>I406*(1-0.308681672025723)</f>
        <v>0</v>
      </c>
      <c r="AQ406" s="38" t="s">
        <v>8</v>
      </c>
      <c r="AV406" s="37">
        <f t="shared" si="342"/>
        <v>0</v>
      </c>
      <c r="AW406" s="37">
        <f t="shared" si="343"/>
        <v>0</v>
      </c>
      <c r="AX406" s="37">
        <f t="shared" si="344"/>
        <v>0</v>
      </c>
      <c r="AY406" s="40" t="s">
        <v>1245</v>
      </c>
      <c r="AZ406" s="40" t="s">
        <v>1260</v>
      </c>
      <c r="BA406" s="35" t="s">
        <v>1262</v>
      </c>
      <c r="BC406" s="37">
        <f t="shared" si="345"/>
        <v>0</v>
      </c>
      <c r="BD406" s="37">
        <f t="shared" si="346"/>
        <v>0</v>
      </c>
      <c r="BE406" s="37">
        <v>0</v>
      </c>
      <c r="BF406" s="37">
        <f t="shared" si="347"/>
        <v>1624</v>
      </c>
      <c r="BH406" s="24">
        <f t="shared" si="348"/>
        <v>0</v>
      </c>
      <c r="BI406" s="24">
        <f t="shared" si="349"/>
        <v>0</v>
      </c>
      <c r="BJ406" s="24">
        <f t="shared" si="350"/>
        <v>0</v>
      </c>
      <c r="BK406" s="24" t="s">
        <v>1267</v>
      </c>
      <c r="BL406" s="37" t="s">
        <v>623</v>
      </c>
    </row>
    <row r="407" spans="1:64" x14ac:dyDescent="0.25">
      <c r="A407" s="4" t="s">
        <v>297</v>
      </c>
      <c r="B407" s="14" t="s">
        <v>645</v>
      </c>
      <c r="C407" s="130" t="s">
        <v>1063</v>
      </c>
      <c r="D407" s="131"/>
      <c r="E407" s="131"/>
      <c r="F407" s="131"/>
      <c r="G407" s="14" t="s">
        <v>1165</v>
      </c>
      <c r="H407" s="24">
        <v>20</v>
      </c>
      <c r="I407" s="24">
        <v>0</v>
      </c>
      <c r="J407" s="24">
        <f t="shared" si="328"/>
        <v>0</v>
      </c>
      <c r="K407" s="24">
        <f t="shared" si="329"/>
        <v>0</v>
      </c>
      <c r="L407" s="24">
        <f t="shared" si="330"/>
        <v>0</v>
      </c>
      <c r="M407" s="24">
        <v>6.0000000000000002E-5</v>
      </c>
      <c r="N407" s="46">
        <f>H407*407</f>
        <v>8140</v>
      </c>
      <c r="O407" s="5"/>
      <c r="Z407" s="37">
        <f t="shared" si="331"/>
        <v>0</v>
      </c>
      <c r="AB407" s="37">
        <f t="shared" si="332"/>
        <v>0</v>
      </c>
      <c r="AC407" s="37">
        <f t="shared" si="333"/>
        <v>0</v>
      </c>
      <c r="AD407" s="37">
        <f t="shared" si="334"/>
        <v>0</v>
      </c>
      <c r="AE407" s="37">
        <f t="shared" si="335"/>
        <v>0</v>
      </c>
      <c r="AF407" s="37">
        <f t="shared" si="336"/>
        <v>0</v>
      </c>
      <c r="AG407" s="37">
        <f t="shared" si="337"/>
        <v>0</v>
      </c>
      <c r="AH407" s="37">
        <f t="shared" si="338"/>
        <v>0</v>
      </c>
      <c r="AI407" s="35"/>
      <c r="AJ407" s="24">
        <f t="shared" si="339"/>
        <v>0</v>
      </c>
      <c r="AK407" s="24">
        <f t="shared" si="340"/>
        <v>0</v>
      </c>
      <c r="AL407" s="24">
        <f t="shared" si="341"/>
        <v>0</v>
      </c>
      <c r="AN407" s="37">
        <v>21</v>
      </c>
      <c r="AO407" s="37">
        <f>I407*0.264591439688716</f>
        <v>0</v>
      </c>
      <c r="AP407" s="37">
        <f>I407*(1-0.264591439688716)</f>
        <v>0</v>
      </c>
      <c r="AQ407" s="38" t="s">
        <v>8</v>
      </c>
      <c r="AV407" s="37">
        <f t="shared" si="342"/>
        <v>0</v>
      </c>
      <c r="AW407" s="37">
        <f t="shared" si="343"/>
        <v>0</v>
      </c>
      <c r="AX407" s="37">
        <f t="shared" si="344"/>
        <v>0</v>
      </c>
      <c r="AY407" s="40" t="s">
        <v>1245</v>
      </c>
      <c r="AZ407" s="40" t="s">
        <v>1260</v>
      </c>
      <c r="BA407" s="35" t="s">
        <v>1262</v>
      </c>
      <c r="BC407" s="37">
        <f t="shared" si="345"/>
        <v>0</v>
      </c>
      <c r="BD407" s="37">
        <f t="shared" si="346"/>
        <v>0</v>
      </c>
      <c r="BE407" s="37">
        <v>0</v>
      </c>
      <c r="BF407" s="37">
        <f t="shared" si="347"/>
        <v>8140</v>
      </c>
      <c r="BH407" s="24">
        <f t="shared" si="348"/>
        <v>0</v>
      </c>
      <c r="BI407" s="24">
        <f t="shared" si="349"/>
        <v>0</v>
      </c>
      <c r="BJ407" s="24">
        <f t="shared" si="350"/>
        <v>0</v>
      </c>
      <c r="BK407" s="24" t="s">
        <v>1267</v>
      </c>
      <c r="BL407" s="37" t="s">
        <v>623</v>
      </c>
    </row>
    <row r="408" spans="1:64" x14ac:dyDescent="0.25">
      <c r="A408" s="4" t="s">
        <v>298</v>
      </c>
      <c r="B408" s="14" t="s">
        <v>646</v>
      </c>
      <c r="C408" s="130" t="s">
        <v>1064</v>
      </c>
      <c r="D408" s="131"/>
      <c r="E408" s="131"/>
      <c r="F408" s="131"/>
      <c r="G408" s="14" t="s">
        <v>1170</v>
      </c>
      <c r="H408" s="24">
        <v>1</v>
      </c>
      <c r="I408" s="24">
        <v>0</v>
      </c>
      <c r="J408" s="24">
        <f t="shared" si="328"/>
        <v>0</v>
      </c>
      <c r="K408" s="24">
        <f t="shared" si="329"/>
        <v>0</v>
      </c>
      <c r="L408" s="24">
        <f t="shared" si="330"/>
        <v>0</v>
      </c>
      <c r="M408" s="24">
        <v>1E-4</v>
      </c>
      <c r="N408" s="46">
        <f>H408*408</f>
        <v>408</v>
      </c>
      <c r="O408" s="5"/>
      <c r="Z408" s="37">
        <f t="shared" si="331"/>
        <v>0</v>
      </c>
      <c r="AB408" s="37">
        <f t="shared" si="332"/>
        <v>0</v>
      </c>
      <c r="AC408" s="37">
        <f t="shared" si="333"/>
        <v>0</v>
      </c>
      <c r="AD408" s="37">
        <f t="shared" si="334"/>
        <v>0</v>
      </c>
      <c r="AE408" s="37">
        <f t="shared" si="335"/>
        <v>0</v>
      </c>
      <c r="AF408" s="37">
        <f t="shared" si="336"/>
        <v>0</v>
      </c>
      <c r="AG408" s="37">
        <f t="shared" si="337"/>
        <v>0</v>
      </c>
      <c r="AH408" s="37">
        <f t="shared" si="338"/>
        <v>0</v>
      </c>
      <c r="AI408" s="35"/>
      <c r="AJ408" s="24">
        <f t="shared" si="339"/>
        <v>0</v>
      </c>
      <c r="AK408" s="24">
        <f t="shared" si="340"/>
        <v>0</v>
      </c>
      <c r="AL408" s="24">
        <f t="shared" si="341"/>
        <v>0</v>
      </c>
      <c r="AN408" s="37">
        <v>21</v>
      </c>
      <c r="AO408" s="37">
        <f>I408*0.813953488372093</f>
        <v>0</v>
      </c>
      <c r="AP408" s="37">
        <f>I408*(1-0.813953488372093)</f>
        <v>0</v>
      </c>
      <c r="AQ408" s="38" t="s">
        <v>8</v>
      </c>
      <c r="AV408" s="37">
        <f t="shared" si="342"/>
        <v>0</v>
      </c>
      <c r="AW408" s="37">
        <f t="shared" si="343"/>
        <v>0</v>
      </c>
      <c r="AX408" s="37">
        <f t="shared" si="344"/>
        <v>0</v>
      </c>
      <c r="AY408" s="40" t="s">
        <v>1245</v>
      </c>
      <c r="AZ408" s="40" t="s">
        <v>1260</v>
      </c>
      <c r="BA408" s="35" t="s">
        <v>1262</v>
      </c>
      <c r="BC408" s="37">
        <f t="shared" si="345"/>
        <v>0</v>
      </c>
      <c r="BD408" s="37">
        <f t="shared" si="346"/>
        <v>0</v>
      </c>
      <c r="BE408" s="37">
        <v>0</v>
      </c>
      <c r="BF408" s="37">
        <f t="shared" si="347"/>
        <v>408</v>
      </c>
      <c r="BH408" s="24">
        <f t="shared" si="348"/>
        <v>0</v>
      </c>
      <c r="BI408" s="24">
        <f t="shared" si="349"/>
        <v>0</v>
      </c>
      <c r="BJ408" s="24">
        <f t="shared" si="350"/>
        <v>0</v>
      </c>
      <c r="BK408" s="24" t="s">
        <v>1267</v>
      </c>
      <c r="BL408" s="37" t="s">
        <v>623</v>
      </c>
    </row>
    <row r="409" spans="1:64" x14ac:dyDescent="0.25">
      <c r="A409" s="5"/>
      <c r="C409" s="18"/>
      <c r="F409" s="20" t="s">
        <v>1144</v>
      </c>
      <c r="H409" s="25">
        <v>0</v>
      </c>
      <c r="N409" s="36"/>
      <c r="O409" s="5"/>
    </row>
    <row r="410" spans="1:64" x14ac:dyDescent="0.25">
      <c r="A410" s="4" t="s">
        <v>299</v>
      </c>
      <c r="B410" s="14" t="s">
        <v>640</v>
      </c>
      <c r="C410" s="130" t="s">
        <v>1065</v>
      </c>
      <c r="D410" s="131"/>
      <c r="E410" s="131"/>
      <c r="F410" s="131"/>
      <c r="G410" s="14" t="s">
        <v>1170</v>
      </c>
      <c r="H410" s="24">
        <v>1</v>
      </c>
      <c r="I410" s="24">
        <v>0</v>
      </c>
      <c r="J410" s="24">
        <f>H410*AO410</f>
        <v>0</v>
      </c>
      <c r="K410" s="24">
        <f>H410*AP410</f>
        <v>0</v>
      </c>
      <c r="L410" s="24">
        <f>H410*I410</f>
        <v>0</v>
      </c>
      <c r="M410" s="24">
        <v>0.01</v>
      </c>
      <c r="N410" s="46">
        <f>H410*410</f>
        <v>410</v>
      </c>
      <c r="O410" s="5"/>
      <c r="Z410" s="37">
        <f>IF(AQ410="5",BJ410,0)</f>
        <v>0</v>
      </c>
      <c r="AB410" s="37">
        <f>IF(AQ410="1",BH410,0)</f>
        <v>0</v>
      </c>
      <c r="AC410" s="37">
        <f>IF(AQ410="1",BI410,0)</f>
        <v>0</v>
      </c>
      <c r="AD410" s="37">
        <f>IF(AQ410="7",BH410,0)</f>
        <v>0</v>
      </c>
      <c r="AE410" s="37">
        <f>IF(AQ410="7",BI410,0)</f>
        <v>0</v>
      </c>
      <c r="AF410" s="37">
        <f>IF(AQ410="2",BH410,0)</f>
        <v>0</v>
      </c>
      <c r="AG410" s="37">
        <f>IF(AQ410="2",BI410,0)</f>
        <v>0</v>
      </c>
      <c r="AH410" s="37">
        <f>IF(AQ410="0",BJ410,0)</f>
        <v>0</v>
      </c>
      <c r="AI410" s="35"/>
      <c r="AJ410" s="24">
        <f>IF(AN410=0,L410,0)</f>
        <v>0</v>
      </c>
      <c r="AK410" s="24">
        <f>IF(AN410=15,L410,0)</f>
        <v>0</v>
      </c>
      <c r="AL410" s="24">
        <f>IF(AN410=21,L410,0)</f>
        <v>0</v>
      </c>
      <c r="AN410" s="37">
        <v>21</v>
      </c>
      <c r="AO410" s="37">
        <f>I410*0.115686274509804</f>
        <v>0</v>
      </c>
      <c r="AP410" s="37">
        <f>I410*(1-0.115686274509804)</f>
        <v>0</v>
      </c>
      <c r="AQ410" s="38" t="s">
        <v>8</v>
      </c>
      <c r="AV410" s="37">
        <f>AW410+AX410</f>
        <v>0</v>
      </c>
      <c r="AW410" s="37">
        <f>H410*AO410</f>
        <v>0</v>
      </c>
      <c r="AX410" s="37">
        <f>H410*AP410</f>
        <v>0</v>
      </c>
      <c r="AY410" s="40" t="s">
        <v>1245</v>
      </c>
      <c r="AZ410" s="40" t="s">
        <v>1260</v>
      </c>
      <c r="BA410" s="35" t="s">
        <v>1262</v>
      </c>
      <c r="BC410" s="37">
        <f>AW410+AX410</f>
        <v>0</v>
      </c>
      <c r="BD410" s="37">
        <f>I410/(100-BE410)*100</f>
        <v>0</v>
      </c>
      <c r="BE410" s="37">
        <v>0</v>
      </c>
      <c r="BF410" s="37">
        <f>N410</f>
        <v>410</v>
      </c>
      <c r="BH410" s="24">
        <f>H410*AO410</f>
        <v>0</v>
      </c>
      <c r="BI410" s="24">
        <f>H410*AP410</f>
        <v>0</v>
      </c>
      <c r="BJ410" s="24">
        <f>H410*I410</f>
        <v>0</v>
      </c>
      <c r="BK410" s="24" t="s">
        <v>1267</v>
      </c>
      <c r="BL410" s="37" t="s">
        <v>623</v>
      </c>
    </row>
    <row r="411" spans="1:64" x14ac:dyDescent="0.25">
      <c r="A411" s="7" t="s">
        <v>300</v>
      </c>
      <c r="B411" s="16" t="s">
        <v>647</v>
      </c>
      <c r="C411" s="134" t="s">
        <v>1066</v>
      </c>
      <c r="D411" s="135"/>
      <c r="E411" s="135"/>
      <c r="F411" s="135"/>
      <c r="G411" s="16" t="s">
        <v>1170</v>
      </c>
      <c r="H411" s="26">
        <v>1</v>
      </c>
      <c r="I411" s="26">
        <v>0</v>
      </c>
      <c r="J411" s="26">
        <f>H411*AO411</f>
        <v>0</v>
      </c>
      <c r="K411" s="26">
        <f>H411*AP411</f>
        <v>0</v>
      </c>
      <c r="L411" s="26">
        <f>H411*I411</f>
        <v>0</v>
      </c>
      <c r="M411" s="26">
        <v>1E-3</v>
      </c>
      <c r="N411" s="48">
        <f>H411*411</f>
        <v>411</v>
      </c>
      <c r="O411" s="5"/>
      <c r="Z411" s="37">
        <f>IF(AQ411="5",BJ411,0)</f>
        <v>0</v>
      </c>
      <c r="AB411" s="37">
        <f>IF(AQ411="1",BH411,0)</f>
        <v>0</v>
      </c>
      <c r="AC411" s="37">
        <f>IF(AQ411="1",BI411,0)</f>
        <v>0</v>
      </c>
      <c r="AD411" s="37">
        <f>IF(AQ411="7",BH411,0)</f>
        <v>0</v>
      </c>
      <c r="AE411" s="37">
        <f>IF(AQ411="7",BI411,0)</f>
        <v>0</v>
      </c>
      <c r="AF411" s="37">
        <f>IF(AQ411="2",BH411,0)</f>
        <v>0</v>
      </c>
      <c r="AG411" s="37">
        <f>IF(AQ411="2",BI411,0)</f>
        <v>0</v>
      </c>
      <c r="AH411" s="37">
        <f>IF(AQ411="0",BJ411,0)</f>
        <v>0</v>
      </c>
      <c r="AI411" s="35"/>
      <c r="AJ411" s="26">
        <f>IF(AN411=0,L411,0)</f>
        <v>0</v>
      </c>
      <c r="AK411" s="26">
        <f>IF(AN411=15,L411,0)</f>
        <v>0</v>
      </c>
      <c r="AL411" s="26">
        <f>IF(AN411=21,L411,0)</f>
        <v>0</v>
      </c>
      <c r="AN411" s="37">
        <v>21</v>
      </c>
      <c r="AO411" s="37">
        <f>I411*1</f>
        <v>0</v>
      </c>
      <c r="AP411" s="37">
        <f>I411*(1-1)</f>
        <v>0</v>
      </c>
      <c r="AQ411" s="39" t="s">
        <v>7</v>
      </c>
      <c r="AV411" s="37">
        <f>AW411+AX411</f>
        <v>0</v>
      </c>
      <c r="AW411" s="37">
        <f>H411*AO411</f>
        <v>0</v>
      </c>
      <c r="AX411" s="37">
        <f>H411*AP411</f>
        <v>0</v>
      </c>
      <c r="AY411" s="40" t="s">
        <v>1245</v>
      </c>
      <c r="AZ411" s="40" t="s">
        <v>1260</v>
      </c>
      <c r="BA411" s="35" t="s">
        <v>1262</v>
      </c>
      <c r="BC411" s="37">
        <f>AW411+AX411</f>
        <v>0</v>
      </c>
      <c r="BD411" s="37">
        <f>I411/(100-BE411)*100</f>
        <v>0</v>
      </c>
      <c r="BE411" s="37">
        <v>0</v>
      </c>
      <c r="BF411" s="37">
        <f>N411</f>
        <v>411</v>
      </c>
      <c r="BH411" s="26">
        <f>H411*AO411</f>
        <v>0</v>
      </c>
      <c r="BI411" s="26">
        <f>H411*AP411</f>
        <v>0</v>
      </c>
      <c r="BJ411" s="26">
        <f>H411*I411</f>
        <v>0</v>
      </c>
      <c r="BK411" s="26" t="s">
        <v>1268</v>
      </c>
      <c r="BL411" s="37" t="s">
        <v>623</v>
      </c>
    </row>
    <row r="412" spans="1:64" x14ac:dyDescent="0.25">
      <c r="A412" s="5"/>
      <c r="C412" s="18"/>
      <c r="F412" s="20" t="s">
        <v>1144</v>
      </c>
      <c r="H412" s="25">
        <v>0</v>
      </c>
      <c r="N412" s="36"/>
      <c r="O412" s="5"/>
    </row>
    <row r="413" spans="1:64" x14ac:dyDescent="0.25">
      <c r="A413" s="7" t="s">
        <v>301</v>
      </c>
      <c r="B413" s="16" t="s">
        <v>648</v>
      </c>
      <c r="C413" s="134" t="s">
        <v>1067</v>
      </c>
      <c r="D413" s="135"/>
      <c r="E413" s="135"/>
      <c r="F413" s="135"/>
      <c r="G413" s="16" t="s">
        <v>1170</v>
      </c>
      <c r="H413" s="26">
        <v>1</v>
      </c>
      <c r="I413" s="26">
        <v>0</v>
      </c>
      <c r="J413" s="26">
        <f t="shared" ref="J413:J418" si="351">H413*AO413</f>
        <v>0</v>
      </c>
      <c r="K413" s="26">
        <f t="shared" ref="K413:K418" si="352">H413*AP413</f>
        <v>0</v>
      </c>
      <c r="L413" s="26">
        <f t="shared" ref="L413:L418" si="353">H413*I413</f>
        <v>0</v>
      </c>
      <c r="M413" s="26">
        <v>1E-3</v>
      </c>
      <c r="N413" s="48">
        <f>H413*413</f>
        <v>413</v>
      </c>
      <c r="O413" s="5"/>
      <c r="Z413" s="37">
        <f t="shared" ref="Z413:Z418" si="354">IF(AQ413="5",BJ413,0)</f>
        <v>0</v>
      </c>
      <c r="AB413" s="37">
        <f t="shared" ref="AB413:AB418" si="355">IF(AQ413="1",BH413,0)</f>
        <v>0</v>
      </c>
      <c r="AC413" s="37">
        <f t="shared" ref="AC413:AC418" si="356">IF(AQ413="1",BI413,0)</f>
        <v>0</v>
      </c>
      <c r="AD413" s="37">
        <f t="shared" ref="AD413:AD418" si="357">IF(AQ413="7",BH413,0)</f>
        <v>0</v>
      </c>
      <c r="AE413" s="37">
        <f t="shared" ref="AE413:AE418" si="358">IF(AQ413="7",BI413,0)</f>
        <v>0</v>
      </c>
      <c r="AF413" s="37">
        <f t="shared" ref="AF413:AF418" si="359">IF(AQ413="2",BH413,0)</f>
        <v>0</v>
      </c>
      <c r="AG413" s="37">
        <f t="shared" ref="AG413:AG418" si="360">IF(AQ413="2",BI413,0)</f>
        <v>0</v>
      </c>
      <c r="AH413" s="37">
        <f t="shared" ref="AH413:AH418" si="361">IF(AQ413="0",BJ413,0)</f>
        <v>0</v>
      </c>
      <c r="AI413" s="35"/>
      <c r="AJ413" s="26">
        <f t="shared" ref="AJ413:AJ418" si="362">IF(AN413=0,L413,0)</f>
        <v>0</v>
      </c>
      <c r="AK413" s="26">
        <f t="shared" ref="AK413:AK418" si="363">IF(AN413=15,L413,0)</f>
        <v>0</v>
      </c>
      <c r="AL413" s="26">
        <f t="shared" ref="AL413:AL418" si="364">IF(AN413=21,L413,0)</f>
        <v>0</v>
      </c>
      <c r="AN413" s="37">
        <v>21</v>
      </c>
      <c r="AO413" s="37">
        <f>I413*1</f>
        <v>0</v>
      </c>
      <c r="AP413" s="37">
        <f>I413*(1-1)</f>
        <v>0</v>
      </c>
      <c r="AQ413" s="39" t="s">
        <v>7</v>
      </c>
      <c r="AV413" s="37">
        <f t="shared" ref="AV413:AV418" si="365">AW413+AX413</f>
        <v>0</v>
      </c>
      <c r="AW413" s="37">
        <f t="shared" ref="AW413:AW418" si="366">H413*AO413</f>
        <v>0</v>
      </c>
      <c r="AX413" s="37">
        <f t="shared" ref="AX413:AX418" si="367">H413*AP413</f>
        <v>0</v>
      </c>
      <c r="AY413" s="40" t="s">
        <v>1245</v>
      </c>
      <c r="AZ413" s="40" t="s">
        <v>1260</v>
      </c>
      <c r="BA413" s="35" t="s">
        <v>1262</v>
      </c>
      <c r="BC413" s="37">
        <f t="shared" ref="BC413:BC418" si="368">AW413+AX413</f>
        <v>0</v>
      </c>
      <c r="BD413" s="37">
        <f t="shared" ref="BD413:BD418" si="369">I413/(100-BE413)*100</f>
        <v>0</v>
      </c>
      <c r="BE413" s="37">
        <v>0</v>
      </c>
      <c r="BF413" s="37">
        <f t="shared" ref="BF413:BF418" si="370">N413</f>
        <v>413</v>
      </c>
      <c r="BH413" s="26">
        <f t="shared" ref="BH413:BH418" si="371">H413*AO413</f>
        <v>0</v>
      </c>
      <c r="BI413" s="26">
        <f t="shared" ref="BI413:BI418" si="372">H413*AP413</f>
        <v>0</v>
      </c>
      <c r="BJ413" s="26">
        <f t="shared" ref="BJ413:BJ418" si="373">H413*I413</f>
        <v>0</v>
      </c>
      <c r="BK413" s="26" t="s">
        <v>1268</v>
      </c>
      <c r="BL413" s="37" t="s">
        <v>623</v>
      </c>
    </row>
    <row r="414" spans="1:64" x14ac:dyDescent="0.25">
      <c r="A414" s="7" t="s">
        <v>302</v>
      </c>
      <c r="B414" s="16" t="s">
        <v>649</v>
      </c>
      <c r="C414" s="134" t="s">
        <v>1068</v>
      </c>
      <c r="D414" s="135"/>
      <c r="E414" s="135"/>
      <c r="F414" s="135"/>
      <c r="G414" s="16" t="s">
        <v>1170</v>
      </c>
      <c r="H414" s="26">
        <v>1</v>
      </c>
      <c r="I414" s="26">
        <v>0</v>
      </c>
      <c r="J414" s="26">
        <f t="shared" si="351"/>
        <v>0</v>
      </c>
      <c r="K414" s="26">
        <f t="shared" si="352"/>
        <v>0</v>
      </c>
      <c r="L414" s="26">
        <f t="shared" si="353"/>
        <v>0</v>
      </c>
      <c r="M414" s="26">
        <v>1E-3</v>
      </c>
      <c r="N414" s="48">
        <f>H414*414</f>
        <v>414</v>
      </c>
      <c r="O414" s="5"/>
      <c r="Z414" s="37">
        <f t="shared" si="354"/>
        <v>0</v>
      </c>
      <c r="AB414" s="37">
        <f t="shared" si="355"/>
        <v>0</v>
      </c>
      <c r="AC414" s="37">
        <f t="shared" si="356"/>
        <v>0</v>
      </c>
      <c r="AD414" s="37">
        <f t="shared" si="357"/>
        <v>0</v>
      </c>
      <c r="AE414" s="37">
        <f t="shared" si="358"/>
        <v>0</v>
      </c>
      <c r="AF414" s="37">
        <f t="shared" si="359"/>
        <v>0</v>
      </c>
      <c r="AG414" s="37">
        <f t="shared" si="360"/>
        <v>0</v>
      </c>
      <c r="AH414" s="37">
        <f t="shared" si="361"/>
        <v>0</v>
      </c>
      <c r="AI414" s="35"/>
      <c r="AJ414" s="26">
        <f t="shared" si="362"/>
        <v>0</v>
      </c>
      <c r="AK414" s="26">
        <f t="shared" si="363"/>
        <v>0</v>
      </c>
      <c r="AL414" s="26">
        <f t="shared" si="364"/>
        <v>0</v>
      </c>
      <c r="AN414" s="37">
        <v>21</v>
      </c>
      <c r="AO414" s="37">
        <f>I414*1</f>
        <v>0</v>
      </c>
      <c r="AP414" s="37">
        <f>I414*(1-1)</f>
        <v>0</v>
      </c>
      <c r="AQ414" s="39" t="s">
        <v>7</v>
      </c>
      <c r="AV414" s="37">
        <f t="shared" si="365"/>
        <v>0</v>
      </c>
      <c r="AW414" s="37">
        <f t="shared" si="366"/>
        <v>0</v>
      </c>
      <c r="AX414" s="37">
        <f t="shared" si="367"/>
        <v>0</v>
      </c>
      <c r="AY414" s="40" t="s">
        <v>1245</v>
      </c>
      <c r="AZ414" s="40" t="s">
        <v>1260</v>
      </c>
      <c r="BA414" s="35" t="s">
        <v>1262</v>
      </c>
      <c r="BC414" s="37">
        <f t="shared" si="368"/>
        <v>0</v>
      </c>
      <c r="BD414" s="37">
        <f t="shared" si="369"/>
        <v>0</v>
      </c>
      <c r="BE414" s="37">
        <v>0</v>
      </c>
      <c r="BF414" s="37">
        <f t="shared" si="370"/>
        <v>414</v>
      </c>
      <c r="BH414" s="26">
        <f t="shared" si="371"/>
        <v>0</v>
      </c>
      <c r="BI414" s="26">
        <f t="shared" si="372"/>
        <v>0</v>
      </c>
      <c r="BJ414" s="26">
        <f t="shared" si="373"/>
        <v>0</v>
      </c>
      <c r="BK414" s="26" t="s">
        <v>1268</v>
      </c>
      <c r="BL414" s="37" t="s">
        <v>623</v>
      </c>
    </row>
    <row r="415" spans="1:64" x14ac:dyDescent="0.25">
      <c r="A415" s="7" t="s">
        <v>303</v>
      </c>
      <c r="B415" s="16" t="s">
        <v>650</v>
      </c>
      <c r="C415" s="134" t="s">
        <v>1069</v>
      </c>
      <c r="D415" s="135"/>
      <c r="E415" s="135"/>
      <c r="F415" s="135"/>
      <c r="G415" s="16" t="s">
        <v>1170</v>
      </c>
      <c r="H415" s="26">
        <v>1</v>
      </c>
      <c r="I415" s="26">
        <v>0</v>
      </c>
      <c r="J415" s="26">
        <f t="shared" si="351"/>
        <v>0</v>
      </c>
      <c r="K415" s="26">
        <f t="shared" si="352"/>
        <v>0</v>
      </c>
      <c r="L415" s="26">
        <f t="shared" si="353"/>
        <v>0</v>
      </c>
      <c r="M415" s="26">
        <v>2.9999999999999997E-4</v>
      </c>
      <c r="N415" s="48">
        <f>H415*415</f>
        <v>415</v>
      </c>
      <c r="O415" s="5"/>
      <c r="Z415" s="37">
        <f t="shared" si="354"/>
        <v>0</v>
      </c>
      <c r="AB415" s="37">
        <f t="shared" si="355"/>
        <v>0</v>
      </c>
      <c r="AC415" s="37">
        <f t="shared" si="356"/>
        <v>0</v>
      </c>
      <c r="AD415" s="37">
        <f t="shared" si="357"/>
        <v>0</v>
      </c>
      <c r="AE415" s="37">
        <f t="shared" si="358"/>
        <v>0</v>
      </c>
      <c r="AF415" s="37">
        <f t="shared" si="359"/>
        <v>0</v>
      </c>
      <c r="AG415" s="37">
        <f t="shared" si="360"/>
        <v>0</v>
      </c>
      <c r="AH415" s="37">
        <f t="shared" si="361"/>
        <v>0</v>
      </c>
      <c r="AI415" s="35"/>
      <c r="AJ415" s="26">
        <f t="shared" si="362"/>
        <v>0</v>
      </c>
      <c r="AK415" s="26">
        <f t="shared" si="363"/>
        <v>0</v>
      </c>
      <c r="AL415" s="26">
        <f t="shared" si="364"/>
        <v>0</v>
      </c>
      <c r="AN415" s="37">
        <v>21</v>
      </c>
      <c r="AO415" s="37">
        <f>I415*1</f>
        <v>0</v>
      </c>
      <c r="AP415" s="37">
        <f>I415*(1-1)</f>
        <v>0</v>
      </c>
      <c r="AQ415" s="39" t="s">
        <v>7</v>
      </c>
      <c r="AV415" s="37">
        <f t="shared" si="365"/>
        <v>0</v>
      </c>
      <c r="AW415" s="37">
        <f t="shared" si="366"/>
        <v>0</v>
      </c>
      <c r="AX415" s="37">
        <f t="shared" si="367"/>
        <v>0</v>
      </c>
      <c r="AY415" s="40" t="s">
        <v>1245</v>
      </c>
      <c r="AZ415" s="40" t="s">
        <v>1260</v>
      </c>
      <c r="BA415" s="35" t="s">
        <v>1262</v>
      </c>
      <c r="BC415" s="37">
        <f t="shared" si="368"/>
        <v>0</v>
      </c>
      <c r="BD415" s="37">
        <f t="shared" si="369"/>
        <v>0</v>
      </c>
      <c r="BE415" s="37">
        <v>0</v>
      </c>
      <c r="BF415" s="37">
        <f t="shared" si="370"/>
        <v>415</v>
      </c>
      <c r="BH415" s="26">
        <f t="shared" si="371"/>
        <v>0</v>
      </c>
      <c r="BI415" s="26">
        <f t="shared" si="372"/>
        <v>0</v>
      </c>
      <c r="BJ415" s="26">
        <f t="shared" si="373"/>
        <v>0</v>
      </c>
      <c r="BK415" s="26" t="s">
        <v>1268</v>
      </c>
      <c r="BL415" s="37" t="s">
        <v>623</v>
      </c>
    </row>
    <row r="416" spans="1:64" x14ac:dyDescent="0.25">
      <c r="A416" s="4" t="s">
        <v>304</v>
      </c>
      <c r="B416" s="14" t="s">
        <v>651</v>
      </c>
      <c r="C416" s="130" t="s">
        <v>1070</v>
      </c>
      <c r="D416" s="131"/>
      <c r="E416" s="131"/>
      <c r="F416" s="131"/>
      <c r="G416" s="14" t="s">
        <v>1170</v>
      </c>
      <c r="H416" s="24">
        <v>1</v>
      </c>
      <c r="I416" s="24">
        <v>0</v>
      </c>
      <c r="J416" s="24">
        <f t="shared" si="351"/>
        <v>0</v>
      </c>
      <c r="K416" s="24">
        <f t="shared" si="352"/>
        <v>0</v>
      </c>
      <c r="L416" s="24">
        <f t="shared" si="353"/>
        <v>0</v>
      </c>
      <c r="M416" s="24">
        <v>1E-3</v>
      </c>
      <c r="N416" s="46">
        <f>H416*416</f>
        <v>416</v>
      </c>
      <c r="O416" s="5"/>
      <c r="Z416" s="37">
        <f t="shared" si="354"/>
        <v>0</v>
      </c>
      <c r="AB416" s="37">
        <f t="shared" si="355"/>
        <v>0</v>
      </c>
      <c r="AC416" s="37">
        <f t="shared" si="356"/>
        <v>0</v>
      </c>
      <c r="AD416" s="37">
        <f t="shared" si="357"/>
        <v>0</v>
      </c>
      <c r="AE416" s="37">
        <f t="shared" si="358"/>
        <v>0</v>
      </c>
      <c r="AF416" s="37">
        <f t="shared" si="359"/>
        <v>0</v>
      </c>
      <c r="AG416" s="37">
        <f t="shared" si="360"/>
        <v>0</v>
      </c>
      <c r="AH416" s="37">
        <f t="shared" si="361"/>
        <v>0</v>
      </c>
      <c r="AI416" s="35"/>
      <c r="AJ416" s="24">
        <f t="shared" si="362"/>
        <v>0</v>
      </c>
      <c r="AK416" s="24">
        <f t="shared" si="363"/>
        <v>0</v>
      </c>
      <c r="AL416" s="24">
        <f t="shared" si="364"/>
        <v>0</v>
      </c>
      <c r="AN416" s="37">
        <v>21</v>
      </c>
      <c r="AO416" s="37">
        <f>I416*0.919458303635068</f>
        <v>0</v>
      </c>
      <c r="AP416" s="37">
        <f>I416*(1-0.919458303635068)</f>
        <v>0</v>
      </c>
      <c r="AQ416" s="38" t="s">
        <v>8</v>
      </c>
      <c r="AV416" s="37">
        <f t="shared" si="365"/>
        <v>0</v>
      </c>
      <c r="AW416" s="37">
        <f t="shared" si="366"/>
        <v>0</v>
      </c>
      <c r="AX416" s="37">
        <f t="shared" si="367"/>
        <v>0</v>
      </c>
      <c r="AY416" s="40" t="s">
        <v>1245</v>
      </c>
      <c r="AZ416" s="40" t="s">
        <v>1260</v>
      </c>
      <c r="BA416" s="35" t="s">
        <v>1262</v>
      </c>
      <c r="BC416" s="37">
        <f t="shared" si="368"/>
        <v>0</v>
      </c>
      <c r="BD416" s="37">
        <f t="shared" si="369"/>
        <v>0</v>
      </c>
      <c r="BE416" s="37">
        <v>0</v>
      </c>
      <c r="BF416" s="37">
        <f t="shared" si="370"/>
        <v>416</v>
      </c>
      <c r="BH416" s="24">
        <f t="shared" si="371"/>
        <v>0</v>
      </c>
      <c r="BI416" s="24">
        <f t="shared" si="372"/>
        <v>0</v>
      </c>
      <c r="BJ416" s="24">
        <f t="shared" si="373"/>
        <v>0</v>
      </c>
      <c r="BK416" s="24" t="s">
        <v>1267</v>
      </c>
      <c r="BL416" s="37" t="s">
        <v>623</v>
      </c>
    </row>
    <row r="417" spans="1:64" x14ac:dyDescent="0.25">
      <c r="A417" s="7" t="s">
        <v>305</v>
      </c>
      <c r="B417" s="16" t="s">
        <v>652</v>
      </c>
      <c r="C417" s="134" t="s">
        <v>1071</v>
      </c>
      <c r="D417" s="135"/>
      <c r="E417" s="135"/>
      <c r="F417" s="135"/>
      <c r="G417" s="16" t="s">
        <v>1170</v>
      </c>
      <c r="H417" s="26">
        <v>1</v>
      </c>
      <c r="I417" s="26">
        <v>0</v>
      </c>
      <c r="J417" s="26">
        <f t="shared" si="351"/>
        <v>0</v>
      </c>
      <c r="K417" s="26">
        <f t="shared" si="352"/>
        <v>0</v>
      </c>
      <c r="L417" s="26">
        <f t="shared" si="353"/>
        <v>0</v>
      </c>
      <c r="M417" s="26">
        <v>1E-3</v>
      </c>
      <c r="N417" s="48">
        <f>H417*417</f>
        <v>417</v>
      </c>
      <c r="O417" s="5"/>
      <c r="Z417" s="37">
        <f t="shared" si="354"/>
        <v>0</v>
      </c>
      <c r="AB417" s="37">
        <f t="shared" si="355"/>
        <v>0</v>
      </c>
      <c r="AC417" s="37">
        <f t="shared" si="356"/>
        <v>0</v>
      </c>
      <c r="AD417" s="37">
        <f t="shared" si="357"/>
        <v>0</v>
      </c>
      <c r="AE417" s="37">
        <f t="shared" si="358"/>
        <v>0</v>
      </c>
      <c r="AF417" s="37">
        <f t="shared" si="359"/>
        <v>0</v>
      </c>
      <c r="AG417" s="37">
        <f t="shared" si="360"/>
        <v>0</v>
      </c>
      <c r="AH417" s="37">
        <f t="shared" si="361"/>
        <v>0</v>
      </c>
      <c r="AI417" s="35"/>
      <c r="AJ417" s="26">
        <f t="shared" si="362"/>
        <v>0</v>
      </c>
      <c r="AK417" s="26">
        <f t="shared" si="363"/>
        <v>0</v>
      </c>
      <c r="AL417" s="26">
        <f t="shared" si="364"/>
        <v>0</v>
      </c>
      <c r="AN417" s="37">
        <v>21</v>
      </c>
      <c r="AO417" s="37">
        <f>I417*1</f>
        <v>0</v>
      </c>
      <c r="AP417" s="37">
        <f>I417*(1-1)</f>
        <v>0</v>
      </c>
      <c r="AQ417" s="39" t="s">
        <v>7</v>
      </c>
      <c r="AV417" s="37">
        <f t="shared" si="365"/>
        <v>0</v>
      </c>
      <c r="AW417" s="37">
        <f t="shared" si="366"/>
        <v>0</v>
      </c>
      <c r="AX417" s="37">
        <f t="shared" si="367"/>
        <v>0</v>
      </c>
      <c r="AY417" s="40" t="s">
        <v>1245</v>
      </c>
      <c r="AZ417" s="40" t="s">
        <v>1260</v>
      </c>
      <c r="BA417" s="35" t="s">
        <v>1262</v>
      </c>
      <c r="BC417" s="37">
        <f t="shared" si="368"/>
        <v>0</v>
      </c>
      <c r="BD417" s="37">
        <f t="shared" si="369"/>
        <v>0</v>
      </c>
      <c r="BE417" s="37">
        <v>0</v>
      </c>
      <c r="BF417" s="37">
        <f t="shared" si="370"/>
        <v>417</v>
      </c>
      <c r="BH417" s="26">
        <f t="shared" si="371"/>
        <v>0</v>
      </c>
      <c r="BI417" s="26">
        <f t="shared" si="372"/>
        <v>0</v>
      </c>
      <c r="BJ417" s="26">
        <f t="shared" si="373"/>
        <v>0</v>
      </c>
      <c r="BK417" s="26" t="s">
        <v>1268</v>
      </c>
      <c r="BL417" s="37" t="s">
        <v>623</v>
      </c>
    </row>
    <row r="418" spans="1:64" x14ac:dyDescent="0.25">
      <c r="A418" s="4" t="s">
        <v>306</v>
      </c>
      <c r="B418" s="14" t="s">
        <v>653</v>
      </c>
      <c r="C418" s="130" t="s">
        <v>1072</v>
      </c>
      <c r="D418" s="131"/>
      <c r="E418" s="131"/>
      <c r="F418" s="131"/>
      <c r="G418" s="14" t="s">
        <v>1170</v>
      </c>
      <c r="H418" s="24">
        <v>40</v>
      </c>
      <c r="I418" s="24">
        <v>0</v>
      </c>
      <c r="J418" s="24">
        <f t="shared" si="351"/>
        <v>0</v>
      </c>
      <c r="K418" s="24">
        <f t="shared" si="352"/>
        <v>0</v>
      </c>
      <c r="L418" s="24">
        <f t="shared" si="353"/>
        <v>0</v>
      </c>
      <c r="M418" s="24">
        <v>1.0000000000000001E-5</v>
      </c>
      <c r="N418" s="46">
        <f>H418*418</f>
        <v>16720</v>
      </c>
      <c r="O418" s="5"/>
      <c r="Z418" s="37">
        <f t="shared" si="354"/>
        <v>0</v>
      </c>
      <c r="AB418" s="37">
        <f t="shared" si="355"/>
        <v>0</v>
      </c>
      <c r="AC418" s="37">
        <f t="shared" si="356"/>
        <v>0</v>
      </c>
      <c r="AD418" s="37">
        <f t="shared" si="357"/>
        <v>0</v>
      </c>
      <c r="AE418" s="37">
        <f t="shared" si="358"/>
        <v>0</v>
      </c>
      <c r="AF418" s="37">
        <f t="shared" si="359"/>
        <v>0</v>
      </c>
      <c r="AG418" s="37">
        <f t="shared" si="360"/>
        <v>0</v>
      </c>
      <c r="AH418" s="37">
        <f t="shared" si="361"/>
        <v>0</v>
      </c>
      <c r="AI418" s="35"/>
      <c r="AJ418" s="24">
        <f t="shared" si="362"/>
        <v>0</v>
      </c>
      <c r="AK418" s="24">
        <f t="shared" si="363"/>
        <v>0</v>
      </c>
      <c r="AL418" s="24">
        <f t="shared" si="364"/>
        <v>0</v>
      </c>
      <c r="AN418" s="37">
        <v>21</v>
      </c>
      <c r="AO418" s="37">
        <f>I418*0.368098159509202</f>
        <v>0</v>
      </c>
      <c r="AP418" s="37">
        <f>I418*(1-0.368098159509202)</f>
        <v>0</v>
      </c>
      <c r="AQ418" s="38" t="s">
        <v>8</v>
      </c>
      <c r="AV418" s="37">
        <f t="shared" si="365"/>
        <v>0</v>
      </c>
      <c r="AW418" s="37">
        <f t="shared" si="366"/>
        <v>0</v>
      </c>
      <c r="AX418" s="37">
        <f t="shared" si="367"/>
        <v>0</v>
      </c>
      <c r="AY418" s="40" t="s">
        <v>1245</v>
      </c>
      <c r="AZ418" s="40" t="s">
        <v>1260</v>
      </c>
      <c r="BA418" s="35" t="s">
        <v>1262</v>
      </c>
      <c r="BC418" s="37">
        <f t="shared" si="368"/>
        <v>0</v>
      </c>
      <c r="BD418" s="37">
        <f t="shared" si="369"/>
        <v>0</v>
      </c>
      <c r="BE418" s="37">
        <v>0</v>
      </c>
      <c r="BF418" s="37">
        <f t="shared" si="370"/>
        <v>16720</v>
      </c>
      <c r="BH418" s="24">
        <f t="shared" si="371"/>
        <v>0</v>
      </c>
      <c r="BI418" s="24">
        <f t="shared" si="372"/>
        <v>0</v>
      </c>
      <c r="BJ418" s="24">
        <f t="shared" si="373"/>
        <v>0</v>
      </c>
      <c r="BK418" s="24" t="s">
        <v>1267</v>
      </c>
      <c r="BL418" s="37" t="s">
        <v>623</v>
      </c>
    </row>
    <row r="419" spans="1:64" x14ac:dyDescent="0.25">
      <c r="A419" s="6"/>
      <c r="B419" s="15" t="s">
        <v>654</v>
      </c>
      <c r="C419" s="132" t="s">
        <v>1073</v>
      </c>
      <c r="D419" s="133"/>
      <c r="E419" s="133"/>
      <c r="F419" s="133"/>
      <c r="G419" s="22" t="s">
        <v>6</v>
      </c>
      <c r="H419" s="22" t="s">
        <v>6</v>
      </c>
      <c r="I419" s="22" t="s">
        <v>6</v>
      </c>
      <c r="J419" s="43">
        <f>SUM(J420:J435)</f>
        <v>0</v>
      </c>
      <c r="K419" s="43">
        <f>SUM(K420:K435)</f>
        <v>0</v>
      </c>
      <c r="L419" s="43">
        <f>SUM(L420:L435)</f>
        <v>0</v>
      </c>
      <c r="M419" s="35"/>
      <c r="N419" s="47">
        <f>SUM(N420:N435)</f>
        <v>36839.32</v>
      </c>
      <c r="O419" s="5"/>
      <c r="AI419" s="35"/>
      <c r="AS419" s="43">
        <f>SUM(AJ420:AJ435)</f>
        <v>0</v>
      </c>
      <c r="AT419" s="43">
        <f>SUM(AK420:AK435)</f>
        <v>0</v>
      </c>
      <c r="AU419" s="43">
        <f>SUM(AL420:AL435)</f>
        <v>0</v>
      </c>
    </row>
    <row r="420" spans="1:64" x14ac:dyDescent="0.25">
      <c r="A420" s="4" t="s">
        <v>307</v>
      </c>
      <c r="B420" s="14" t="s">
        <v>655</v>
      </c>
      <c r="C420" s="130" t="s">
        <v>1074</v>
      </c>
      <c r="D420" s="131"/>
      <c r="E420" s="131"/>
      <c r="F420" s="131"/>
      <c r="G420" s="14" t="s">
        <v>1165</v>
      </c>
      <c r="H420" s="24">
        <v>32</v>
      </c>
      <c r="I420" s="24">
        <v>0</v>
      </c>
      <c r="J420" s="24">
        <f t="shared" ref="J420:J428" si="374">H420*AO420</f>
        <v>0</v>
      </c>
      <c r="K420" s="24">
        <f t="shared" ref="K420:K428" si="375">H420*AP420</f>
        <v>0</v>
      </c>
      <c r="L420" s="24">
        <f t="shared" ref="L420:L428" si="376">H420*I420</f>
        <v>0</v>
      </c>
      <c r="M420" s="24">
        <v>4.2999999999999999E-4</v>
      </c>
      <c r="N420" s="46">
        <f>H420*420</f>
        <v>13440</v>
      </c>
      <c r="O420" s="5"/>
      <c r="Z420" s="37">
        <f t="shared" ref="Z420:Z428" si="377">IF(AQ420="5",BJ420,0)</f>
        <v>0</v>
      </c>
      <c r="AB420" s="37">
        <f t="shared" ref="AB420:AB428" si="378">IF(AQ420="1",BH420,0)</f>
        <v>0</v>
      </c>
      <c r="AC420" s="37">
        <f t="shared" ref="AC420:AC428" si="379">IF(AQ420="1",BI420,0)</f>
        <v>0</v>
      </c>
      <c r="AD420" s="37">
        <f t="shared" ref="AD420:AD428" si="380">IF(AQ420="7",BH420,0)</f>
        <v>0</v>
      </c>
      <c r="AE420" s="37">
        <f t="shared" ref="AE420:AE428" si="381">IF(AQ420="7",BI420,0)</f>
        <v>0</v>
      </c>
      <c r="AF420" s="37">
        <f t="shared" ref="AF420:AF428" si="382">IF(AQ420="2",BH420,0)</f>
        <v>0</v>
      </c>
      <c r="AG420" s="37">
        <f t="shared" ref="AG420:AG428" si="383">IF(AQ420="2",BI420,0)</f>
        <v>0</v>
      </c>
      <c r="AH420" s="37">
        <f t="shared" ref="AH420:AH428" si="384">IF(AQ420="0",BJ420,0)</f>
        <v>0</v>
      </c>
      <c r="AI420" s="35"/>
      <c r="AJ420" s="24">
        <f t="shared" ref="AJ420:AJ428" si="385">IF(AN420=0,L420,0)</f>
        <v>0</v>
      </c>
      <c r="AK420" s="24">
        <f t="shared" ref="AK420:AK428" si="386">IF(AN420=15,L420,0)</f>
        <v>0</v>
      </c>
      <c r="AL420" s="24">
        <f t="shared" ref="AL420:AL428" si="387">IF(AN420=21,L420,0)</f>
        <v>0</v>
      </c>
      <c r="AN420" s="37">
        <v>21</v>
      </c>
      <c r="AO420" s="37">
        <f>I420*0.490421455938697</f>
        <v>0</v>
      </c>
      <c r="AP420" s="37">
        <f>I420*(1-0.490421455938697)</f>
        <v>0</v>
      </c>
      <c r="AQ420" s="38" t="s">
        <v>8</v>
      </c>
      <c r="AV420" s="37">
        <f t="shared" ref="AV420:AV428" si="388">AW420+AX420</f>
        <v>0</v>
      </c>
      <c r="AW420" s="37">
        <f t="shared" ref="AW420:AW428" si="389">H420*AO420</f>
        <v>0</v>
      </c>
      <c r="AX420" s="37">
        <f t="shared" ref="AX420:AX428" si="390">H420*AP420</f>
        <v>0</v>
      </c>
      <c r="AY420" s="40" t="s">
        <v>1246</v>
      </c>
      <c r="AZ420" s="40" t="s">
        <v>1260</v>
      </c>
      <c r="BA420" s="35" t="s">
        <v>1262</v>
      </c>
      <c r="BC420" s="37">
        <f t="shared" ref="BC420:BC428" si="391">AW420+AX420</f>
        <v>0</v>
      </c>
      <c r="BD420" s="37">
        <f t="shared" ref="BD420:BD428" si="392">I420/(100-BE420)*100</f>
        <v>0</v>
      </c>
      <c r="BE420" s="37">
        <v>0</v>
      </c>
      <c r="BF420" s="37">
        <f t="shared" ref="BF420:BF428" si="393">N420</f>
        <v>13440</v>
      </c>
      <c r="BH420" s="24">
        <f t="shared" ref="BH420:BH428" si="394">H420*AO420</f>
        <v>0</v>
      </c>
      <c r="BI420" s="24">
        <f t="shared" ref="BI420:BI428" si="395">H420*AP420</f>
        <v>0</v>
      </c>
      <c r="BJ420" s="24">
        <f t="shared" ref="BJ420:BJ428" si="396">H420*I420</f>
        <v>0</v>
      </c>
      <c r="BK420" s="24" t="s">
        <v>1267</v>
      </c>
      <c r="BL420" s="37" t="s">
        <v>654</v>
      </c>
    </row>
    <row r="421" spans="1:64" x14ac:dyDescent="0.25">
      <c r="A421" s="4" t="s">
        <v>308</v>
      </c>
      <c r="B421" s="14" t="s">
        <v>656</v>
      </c>
      <c r="C421" s="130" t="s">
        <v>1075</v>
      </c>
      <c r="D421" s="131"/>
      <c r="E421" s="131"/>
      <c r="F421" s="131"/>
      <c r="G421" s="14" t="s">
        <v>1165</v>
      </c>
      <c r="H421" s="24">
        <v>32</v>
      </c>
      <c r="I421" s="24">
        <v>0</v>
      </c>
      <c r="J421" s="24">
        <f t="shared" si="374"/>
        <v>0</v>
      </c>
      <c r="K421" s="24">
        <f t="shared" si="375"/>
        <v>0</v>
      </c>
      <c r="L421" s="24">
        <f t="shared" si="376"/>
        <v>0</v>
      </c>
      <c r="M421" s="24">
        <v>4.0000000000000002E-4</v>
      </c>
      <c r="N421" s="46">
        <f>H421*421</f>
        <v>13472</v>
      </c>
      <c r="O421" s="5"/>
      <c r="Z421" s="37">
        <f t="shared" si="377"/>
        <v>0</v>
      </c>
      <c r="AB421" s="37">
        <f t="shared" si="378"/>
        <v>0</v>
      </c>
      <c r="AC421" s="37">
        <f t="shared" si="379"/>
        <v>0</v>
      </c>
      <c r="AD421" s="37">
        <f t="shared" si="380"/>
        <v>0</v>
      </c>
      <c r="AE421" s="37">
        <f t="shared" si="381"/>
        <v>0</v>
      </c>
      <c r="AF421" s="37">
        <f t="shared" si="382"/>
        <v>0</v>
      </c>
      <c r="AG421" s="37">
        <f t="shared" si="383"/>
        <v>0</v>
      </c>
      <c r="AH421" s="37">
        <f t="shared" si="384"/>
        <v>0</v>
      </c>
      <c r="AI421" s="35"/>
      <c r="AJ421" s="24">
        <f t="shared" si="385"/>
        <v>0</v>
      </c>
      <c r="AK421" s="24">
        <f t="shared" si="386"/>
        <v>0</v>
      </c>
      <c r="AL421" s="24">
        <f t="shared" si="387"/>
        <v>0</v>
      </c>
      <c r="AN421" s="37">
        <v>21</v>
      </c>
      <c r="AO421" s="37">
        <f>I421*0.236836540494819</f>
        <v>0</v>
      </c>
      <c r="AP421" s="37">
        <f>I421*(1-0.236836540494819)</f>
        <v>0</v>
      </c>
      <c r="AQ421" s="38" t="s">
        <v>8</v>
      </c>
      <c r="AV421" s="37">
        <f t="shared" si="388"/>
        <v>0</v>
      </c>
      <c r="AW421" s="37">
        <f t="shared" si="389"/>
        <v>0</v>
      </c>
      <c r="AX421" s="37">
        <f t="shared" si="390"/>
        <v>0</v>
      </c>
      <c r="AY421" s="40" t="s">
        <v>1246</v>
      </c>
      <c r="AZ421" s="40" t="s">
        <v>1260</v>
      </c>
      <c r="BA421" s="35" t="s">
        <v>1262</v>
      </c>
      <c r="BC421" s="37">
        <f t="shared" si="391"/>
        <v>0</v>
      </c>
      <c r="BD421" s="37">
        <f t="shared" si="392"/>
        <v>0</v>
      </c>
      <c r="BE421" s="37">
        <v>0</v>
      </c>
      <c r="BF421" s="37">
        <f t="shared" si="393"/>
        <v>13472</v>
      </c>
      <c r="BH421" s="24">
        <f t="shared" si="394"/>
        <v>0</v>
      </c>
      <c r="BI421" s="24">
        <f t="shared" si="395"/>
        <v>0</v>
      </c>
      <c r="BJ421" s="24">
        <f t="shared" si="396"/>
        <v>0</v>
      </c>
      <c r="BK421" s="24" t="s">
        <v>1267</v>
      </c>
      <c r="BL421" s="37" t="s">
        <v>654</v>
      </c>
    </row>
    <row r="422" spans="1:64" x14ac:dyDescent="0.25">
      <c r="A422" s="7" t="s">
        <v>309</v>
      </c>
      <c r="B422" s="16" t="s">
        <v>657</v>
      </c>
      <c r="C422" s="134" t="s">
        <v>1076</v>
      </c>
      <c r="D422" s="135"/>
      <c r="E422" s="135"/>
      <c r="F422" s="135"/>
      <c r="G422" s="16" t="s">
        <v>1170</v>
      </c>
      <c r="H422" s="26">
        <v>2</v>
      </c>
      <c r="I422" s="26">
        <v>0</v>
      </c>
      <c r="J422" s="26">
        <f t="shared" si="374"/>
        <v>0</v>
      </c>
      <c r="K422" s="26">
        <f t="shared" si="375"/>
        <v>0</v>
      </c>
      <c r="L422" s="26">
        <f t="shared" si="376"/>
        <v>0</v>
      </c>
      <c r="M422" s="26">
        <v>0</v>
      </c>
      <c r="N422" s="48">
        <f>H422*422</f>
        <v>844</v>
      </c>
      <c r="O422" s="5"/>
      <c r="Z422" s="37">
        <f t="shared" si="377"/>
        <v>0</v>
      </c>
      <c r="AB422" s="37">
        <f t="shared" si="378"/>
        <v>0</v>
      </c>
      <c r="AC422" s="37">
        <f t="shared" si="379"/>
        <v>0</v>
      </c>
      <c r="AD422" s="37">
        <f t="shared" si="380"/>
        <v>0</v>
      </c>
      <c r="AE422" s="37">
        <f t="shared" si="381"/>
        <v>0</v>
      </c>
      <c r="AF422" s="37">
        <f t="shared" si="382"/>
        <v>0</v>
      </c>
      <c r="AG422" s="37">
        <f t="shared" si="383"/>
        <v>0</v>
      </c>
      <c r="AH422" s="37">
        <f t="shared" si="384"/>
        <v>0</v>
      </c>
      <c r="AI422" s="35"/>
      <c r="AJ422" s="26">
        <f t="shared" si="385"/>
        <v>0</v>
      </c>
      <c r="AK422" s="26">
        <f t="shared" si="386"/>
        <v>0</v>
      </c>
      <c r="AL422" s="26">
        <f t="shared" si="387"/>
        <v>0</v>
      </c>
      <c r="AN422" s="37">
        <v>21</v>
      </c>
      <c r="AO422" s="37">
        <f>I422*1</f>
        <v>0</v>
      </c>
      <c r="AP422" s="37">
        <f>I422*(1-1)</f>
        <v>0</v>
      </c>
      <c r="AQ422" s="39" t="s">
        <v>7</v>
      </c>
      <c r="AV422" s="37">
        <f t="shared" si="388"/>
        <v>0</v>
      </c>
      <c r="AW422" s="37">
        <f t="shared" si="389"/>
        <v>0</v>
      </c>
      <c r="AX422" s="37">
        <f t="shared" si="390"/>
        <v>0</v>
      </c>
      <c r="AY422" s="40" t="s">
        <v>1246</v>
      </c>
      <c r="AZ422" s="40" t="s">
        <v>1260</v>
      </c>
      <c r="BA422" s="35" t="s">
        <v>1262</v>
      </c>
      <c r="BC422" s="37">
        <f t="shared" si="391"/>
        <v>0</v>
      </c>
      <c r="BD422" s="37">
        <f t="shared" si="392"/>
        <v>0</v>
      </c>
      <c r="BE422" s="37">
        <v>0</v>
      </c>
      <c r="BF422" s="37">
        <f t="shared" si="393"/>
        <v>844</v>
      </c>
      <c r="BH422" s="26">
        <f t="shared" si="394"/>
        <v>0</v>
      </c>
      <c r="BI422" s="26">
        <f t="shared" si="395"/>
        <v>0</v>
      </c>
      <c r="BJ422" s="26">
        <f t="shared" si="396"/>
        <v>0</v>
      </c>
      <c r="BK422" s="26" t="s">
        <v>1268</v>
      </c>
      <c r="BL422" s="37" t="s">
        <v>654</v>
      </c>
    </row>
    <row r="423" spans="1:64" x14ac:dyDescent="0.25">
      <c r="A423" s="4" t="s">
        <v>310</v>
      </c>
      <c r="B423" s="14" t="s">
        <v>658</v>
      </c>
      <c r="C423" s="130" t="s">
        <v>1077</v>
      </c>
      <c r="D423" s="131"/>
      <c r="E423" s="131"/>
      <c r="F423" s="131"/>
      <c r="G423" s="14" t="s">
        <v>1170</v>
      </c>
      <c r="H423" s="24">
        <v>2</v>
      </c>
      <c r="I423" s="24">
        <v>0</v>
      </c>
      <c r="J423" s="24">
        <f t="shared" si="374"/>
        <v>0</v>
      </c>
      <c r="K423" s="24">
        <f t="shared" si="375"/>
        <v>0</v>
      </c>
      <c r="L423" s="24">
        <f t="shared" si="376"/>
        <v>0</v>
      </c>
      <c r="M423" s="24">
        <v>0</v>
      </c>
      <c r="N423" s="46">
        <f>H423*423</f>
        <v>846</v>
      </c>
      <c r="O423" s="5"/>
      <c r="Z423" s="37">
        <f t="shared" si="377"/>
        <v>0</v>
      </c>
      <c r="AB423" s="37">
        <f t="shared" si="378"/>
        <v>0</v>
      </c>
      <c r="AC423" s="37">
        <f t="shared" si="379"/>
        <v>0</v>
      </c>
      <c r="AD423" s="37">
        <f t="shared" si="380"/>
        <v>0</v>
      </c>
      <c r="AE423" s="37">
        <f t="shared" si="381"/>
        <v>0</v>
      </c>
      <c r="AF423" s="37">
        <f t="shared" si="382"/>
        <v>0</v>
      </c>
      <c r="AG423" s="37">
        <f t="shared" si="383"/>
        <v>0</v>
      </c>
      <c r="AH423" s="37">
        <f t="shared" si="384"/>
        <v>0</v>
      </c>
      <c r="AI423" s="35"/>
      <c r="AJ423" s="24">
        <f t="shared" si="385"/>
        <v>0</v>
      </c>
      <c r="AK423" s="24">
        <f t="shared" si="386"/>
        <v>0</v>
      </c>
      <c r="AL423" s="24">
        <f t="shared" si="387"/>
        <v>0</v>
      </c>
      <c r="AN423" s="37">
        <v>21</v>
      </c>
      <c r="AO423" s="37">
        <f>I423*0.855436081242533</f>
        <v>0</v>
      </c>
      <c r="AP423" s="37">
        <f>I423*(1-0.855436081242533)</f>
        <v>0</v>
      </c>
      <c r="AQ423" s="38" t="s">
        <v>8</v>
      </c>
      <c r="AV423" s="37">
        <f t="shared" si="388"/>
        <v>0</v>
      </c>
      <c r="AW423" s="37">
        <f t="shared" si="389"/>
        <v>0</v>
      </c>
      <c r="AX423" s="37">
        <f t="shared" si="390"/>
        <v>0</v>
      </c>
      <c r="AY423" s="40" t="s">
        <v>1246</v>
      </c>
      <c r="AZ423" s="40" t="s">
        <v>1260</v>
      </c>
      <c r="BA423" s="35" t="s">
        <v>1262</v>
      </c>
      <c r="BC423" s="37">
        <f t="shared" si="391"/>
        <v>0</v>
      </c>
      <c r="BD423" s="37">
        <f t="shared" si="392"/>
        <v>0</v>
      </c>
      <c r="BE423" s="37">
        <v>0</v>
      </c>
      <c r="BF423" s="37">
        <f t="shared" si="393"/>
        <v>846</v>
      </c>
      <c r="BH423" s="24">
        <f t="shared" si="394"/>
        <v>0</v>
      </c>
      <c r="BI423" s="24">
        <f t="shared" si="395"/>
        <v>0</v>
      </c>
      <c r="BJ423" s="24">
        <f t="shared" si="396"/>
        <v>0</v>
      </c>
      <c r="BK423" s="24" t="s">
        <v>1267</v>
      </c>
      <c r="BL423" s="37" t="s">
        <v>654</v>
      </c>
    </row>
    <row r="424" spans="1:64" x14ac:dyDescent="0.25">
      <c r="A424" s="4" t="s">
        <v>311</v>
      </c>
      <c r="B424" s="14" t="s">
        <v>659</v>
      </c>
      <c r="C424" s="130" t="s">
        <v>1078</v>
      </c>
      <c r="D424" s="131"/>
      <c r="E424" s="131"/>
      <c r="F424" s="131"/>
      <c r="G424" s="14" t="s">
        <v>1170</v>
      </c>
      <c r="H424" s="24">
        <v>1</v>
      </c>
      <c r="I424" s="24">
        <v>0</v>
      </c>
      <c r="J424" s="24">
        <f t="shared" si="374"/>
        <v>0</v>
      </c>
      <c r="K424" s="24">
        <f t="shared" si="375"/>
        <v>0</v>
      </c>
      <c r="L424" s="24">
        <f t="shared" si="376"/>
        <v>0</v>
      </c>
      <c r="M424" s="24">
        <v>6.9999999999999999E-4</v>
      </c>
      <c r="N424" s="46">
        <f>H424*424</f>
        <v>424</v>
      </c>
      <c r="O424" s="5"/>
      <c r="Z424" s="37">
        <f t="shared" si="377"/>
        <v>0</v>
      </c>
      <c r="AB424" s="37">
        <f t="shared" si="378"/>
        <v>0</v>
      </c>
      <c r="AC424" s="37">
        <f t="shared" si="379"/>
        <v>0</v>
      </c>
      <c r="AD424" s="37">
        <f t="shared" si="380"/>
        <v>0</v>
      </c>
      <c r="AE424" s="37">
        <f t="shared" si="381"/>
        <v>0</v>
      </c>
      <c r="AF424" s="37">
        <f t="shared" si="382"/>
        <v>0</v>
      </c>
      <c r="AG424" s="37">
        <f t="shared" si="383"/>
        <v>0</v>
      </c>
      <c r="AH424" s="37">
        <f t="shared" si="384"/>
        <v>0</v>
      </c>
      <c r="AI424" s="35"/>
      <c r="AJ424" s="24">
        <f t="shared" si="385"/>
        <v>0</v>
      </c>
      <c r="AK424" s="24">
        <f t="shared" si="386"/>
        <v>0</v>
      </c>
      <c r="AL424" s="24">
        <f t="shared" si="387"/>
        <v>0</v>
      </c>
      <c r="AN424" s="37">
        <v>21</v>
      </c>
      <c r="AO424" s="37">
        <f>I424*0.198484848484848</f>
        <v>0</v>
      </c>
      <c r="AP424" s="37">
        <f>I424*(1-0.198484848484848)</f>
        <v>0</v>
      </c>
      <c r="AQ424" s="38" t="s">
        <v>8</v>
      </c>
      <c r="AV424" s="37">
        <f t="shared" si="388"/>
        <v>0</v>
      </c>
      <c r="AW424" s="37">
        <f t="shared" si="389"/>
        <v>0</v>
      </c>
      <c r="AX424" s="37">
        <f t="shared" si="390"/>
        <v>0</v>
      </c>
      <c r="AY424" s="40" t="s">
        <v>1246</v>
      </c>
      <c r="AZ424" s="40" t="s">
        <v>1260</v>
      </c>
      <c r="BA424" s="35" t="s">
        <v>1262</v>
      </c>
      <c r="BC424" s="37">
        <f t="shared" si="391"/>
        <v>0</v>
      </c>
      <c r="BD424" s="37">
        <f t="shared" si="392"/>
        <v>0</v>
      </c>
      <c r="BE424" s="37">
        <v>0</v>
      </c>
      <c r="BF424" s="37">
        <f t="shared" si="393"/>
        <v>424</v>
      </c>
      <c r="BH424" s="24">
        <f t="shared" si="394"/>
        <v>0</v>
      </c>
      <c r="BI424" s="24">
        <f t="shared" si="395"/>
        <v>0</v>
      </c>
      <c r="BJ424" s="24">
        <f t="shared" si="396"/>
        <v>0</v>
      </c>
      <c r="BK424" s="24" t="s">
        <v>1267</v>
      </c>
      <c r="BL424" s="37" t="s">
        <v>654</v>
      </c>
    </row>
    <row r="425" spans="1:64" x14ac:dyDescent="0.25">
      <c r="A425" s="4" t="s">
        <v>312</v>
      </c>
      <c r="B425" s="14" t="s">
        <v>425</v>
      </c>
      <c r="C425" s="130" t="s">
        <v>813</v>
      </c>
      <c r="D425" s="131"/>
      <c r="E425" s="131"/>
      <c r="F425" s="131"/>
      <c r="G425" s="14" t="s">
        <v>1165</v>
      </c>
      <c r="H425" s="24">
        <v>5</v>
      </c>
      <c r="I425" s="24">
        <v>0</v>
      </c>
      <c r="J425" s="24">
        <f t="shared" si="374"/>
        <v>0</v>
      </c>
      <c r="K425" s="24">
        <f t="shared" si="375"/>
        <v>0</v>
      </c>
      <c r="L425" s="24">
        <f t="shared" si="376"/>
        <v>0</v>
      </c>
      <c r="M425" s="24">
        <v>7.3400000000000002E-3</v>
      </c>
      <c r="N425" s="46">
        <f>H425*425</f>
        <v>2125</v>
      </c>
      <c r="O425" s="5"/>
      <c r="Z425" s="37">
        <f t="shared" si="377"/>
        <v>0</v>
      </c>
      <c r="AB425" s="37">
        <f t="shared" si="378"/>
        <v>0</v>
      </c>
      <c r="AC425" s="37">
        <f t="shared" si="379"/>
        <v>0</v>
      </c>
      <c r="AD425" s="37">
        <f t="shared" si="380"/>
        <v>0</v>
      </c>
      <c r="AE425" s="37">
        <f t="shared" si="381"/>
        <v>0</v>
      </c>
      <c r="AF425" s="37">
        <f t="shared" si="382"/>
        <v>0</v>
      </c>
      <c r="AG425" s="37">
        <f t="shared" si="383"/>
        <v>0</v>
      </c>
      <c r="AH425" s="37">
        <f t="shared" si="384"/>
        <v>0</v>
      </c>
      <c r="AI425" s="35"/>
      <c r="AJ425" s="24">
        <f t="shared" si="385"/>
        <v>0</v>
      </c>
      <c r="AK425" s="24">
        <f t="shared" si="386"/>
        <v>0</v>
      </c>
      <c r="AL425" s="24">
        <f t="shared" si="387"/>
        <v>0</v>
      </c>
      <c r="AN425" s="37">
        <v>21</v>
      </c>
      <c r="AO425" s="37">
        <f>I425*0.481293134762078</f>
        <v>0</v>
      </c>
      <c r="AP425" s="37">
        <f>I425*(1-0.481293134762078)</f>
        <v>0</v>
      </c>
      <c r="AQ425" s="38" t="s">
        <v>7</v>
      </c>
      <c r="AV425" s="37">
        <f t="shared" si="388"/>
        <v>0</v>
      </c>
      <c r="AW425" s="37">
        <f t="shared" si="389"/>
        <v>0</v>
      </c>
      <c r="AX425" s="37">
        <f t="shared" si="390"/>
        <v>0</v>
      </c>
      <c r="AY425" s="40" t="s">
        <v>1246</v>
      </c>
      <c r="AZ425" s="40" t="s">
        <v>1260</v>
      </c>
      <c r="BA425" s="35" t="s">
        <v>1262</v>
      </c>
      <c r="BC425" s="37">
        <f t="shared" si="391"/>
        <v>0</v>
      </c>
      <c r="BD425" s="37">
        <f t="shared" si="392"/>
        <v>0</v>
      </c>
      <c r="BE425" s="37">
        <v>0</v>
      </c>
      <c r="BF425" s="37">
        <f t="shared" si="393"/>
        <v>2125</v>
      </c>
      <c r="BH425" s="24">
        <f t="shared" si="394"/>
        <v>0</v>
      </c>
      <c r="BI425" s="24">
        <f t="shared" si="395"/>
        <v>0</v>
      </c>
      <c r="BJ425" s="24">
        <f t="shared" si="396"/>
        <v>0</v>
      </c>
      <c r="BK425" s="24" t="s">
        <v>1267</v>
      </c>
      <c r="BL425" s="37" t="s">
        <v>654</v>
      </c>
    </row>
    <row r="426" spans="1:64" x14ac:dyDescent="0.25">
      <c r="A426" s="4" t="s">
        <v>313</v>
      </c>
      <c r="B426" s="14" t="s">
        <v>432</v>
      </c>
      <c r="C426" s="130" t="s">
        <v>1079</v>
      </c>
      <c r="D426" s="131"/>
      <c r="E426" s="131"/>
      <c r="F426" s="131"/>
      <c r="G426" s="14" t="s">
        <v>1170</v>
      </c>
      <c r="H426" s="24">
        <v>2</v>
      </c>
      <c r="I426" s="24">
        <v>0</v>
      </c>
      <c r="J426" s="24">
        <f t="shared" si="374"/>
        <v>0</v>
      </c>
      <c r="K426" s="24">
        <f t="shared" si="375"/>
        <v>0</v>
      </c>
      <c r="L426" s="24">
        <f t="shared" si="376"/>
        <v>0</v>
      </c>
      <c r="M426" s="24">
        <v>6.9999999999999999E-4</v>
      </c>
      <c r="N426" s="46">
        <f>H426*426</f>
        <v>852</v>
      </c>
      <c r="O426" s="5"/>
      <c r="Z426" s="37">
        <f t="shared" si="377"/>
        <v>0</v>
      </c>
      <c r="AB426" s="37">
        <f t="shared" si="378"/>
        <v>0</v>
      </c>
      <c r="AC426" s="37">
        <f t="shared" si="379"/>
        <v>0</v>
      </c>
      <c r="AD426" s="37">
        <f t="shared" si="380"/>
        <v>0</v>
      </c>
      <c r="AE426" s="37">
        <f t="shared" si="381"/>
        <v>0</v>
      </c>
      <c r="AF426" s="37">
        <f t="shared" si="382"/>
        <v>0</v>
      </c>
      <c r="AG426" s="37">
        <f t="shared" si="383"/>
        <v>0</v>
      </c>
      <c r="AH426" s="37">
        <f t="shared" si="384"/>
        <v>0</v>
      </c>
      <c r="AI426" s="35"/>
      <c r="AJ426" s="24">
        <f t="shared" si="385"/>
        <v>0</v>
      </c>
      <c r="AK426" s="24">
        <f t="shared" si="386"/>
        <v>0</v>
      </c>
      <c r="AL426" s="24">
        <f t="shared" si="387"/>
        <v>0</v>
      </c>
      <c r="AN426" s="37">
        <v>21</v>
      </c>
      <c r="AO426" s="37">
        <f>I426*0.756836659275684</f>
        <v>0</v>
      </c>
      <c r="AP426" s="37">
        <f>I426*(1-0.756836659275684)</f>
        <v>0</v>
      </c>
      <c r="AQ426" s="38" t="s">
        <v>7</v>
      </c>
      <c r="AV426" s="37">
        <f t="shared" si="388"/>
        <v>0</v>
      </c>
      <c r="AW426" s="37">
        <f t="shared" si="389"/>
        <v>0</v>
      </c>
      <c r="AX426" s="37">
        <f t="shared" si="390"/>
        <v>0</v>
      </c>
      <c r="AY426" s="40" t="s">
        <v>1246</v>
      </c>
      <c r="AZ426" s="40" t="s">
        <v>1260</v>
      </c>
      <c r="BA426" s="35" t="s">
        <v>1262</v>
      </c>
      <c r="BC426" s="37">
        <f t="shared" si="391"/>
        <v>0</v>
      </c>
      <c r="BD426" s="37">
        <f t="shared" si="392"/>
        <v>0</v>
      </c>
      <c r="BE426" s="37">
        <v>0</v>
      </c>
      <c r="BF426" s="37">
        <f t="shared" si="393"/>
        <v>852</v>
      </c>
      <c r="BH426" s="24">
        <f t="shared" si="394"/>
        <v>0</v>
      </c>
      <c r="BI426" s="24">
        <f t="shared" si="395"/>
        <v>0</v>
      </c>
      <c r="BJ426" s="24">
        <f t="shared" si="396"/>
        <v>0</v>
      </c>
      <c r="BK426" s="24" t="s">
        <v>1267</v>
      </c>
      <c r="BL426" s="37" t="s">
        <v>654</v>
      </c>
    </row>
    <row r="427" spans="1:64" x14ac:dyDescent="0.25">
      <c r="A427" s="4" t="s">
        <v>314</v>
      </c>
      <c r="B427" s="14" t="s">
        <v>660</v>
      </c>
      <c r="C427" s="130" t="s">
        <v>1080</v>
      </c>
      <c r="D427" s="131"/>
      <c r="E427" s="131"/>
      <c r="F427" s="131"/>
      <c r="G427" s="14" t="s">
        <v>1165</v>
      </c>
      <c r="H427" s="24">
        <v>1</v>
      </c>
      <c r="I427" s="24">
        <v>0</v>
      </c>
      <c r="J427" s="24">
        <f t="shared" si="374"/>
        <v>0</v>
      </c>
      <c r="K427" s="24">
        <f t="shared" si="375"/>
        <v>0</v>
      </c>
      <c r="L427" s="24">
        <f t="shared" si="376"/>
        <v>0</v>
      </c>
      <c r="M427" s="24">
        <v>1.2489999999999999E-2</v>
      </c>
      <c r="N427" s="46">
        <f>H427*427</f>
        <v>427</v>
      </c>
      <c r="O427" s="5"/>
      <c r="Z427" s="37">
        <f t="shared" si="377"/>
        <v>0</v>
      </c>
      <c r="AB427" s="37">
        <f t="shared" si="378"/>
        <v>0</v>
      </c>
      <c r="AC427" s="37">
        <f t="shared" si="379"/>
        <v>0</v>
      </c>
      <c r="AD427" s="37">
        <f t="shared" si="380"/>
        <v>0</v>
      </c>
      <c r="AE427" s="37">
        <f t="shared" si="381"/>
        <v>0</v>
      </c>
      <c r="AF427" s="37">
        <f t="shared" si="382"/>
        <v>0</v>
      </c>
      <c r="AG427" s="37">
        <f t="shared" si="383"/>
        <v>0</v>
      </c>
      <c r="AH427" s="37">
        <f t="shared" si="384"/>
        <v>0</v>
      </c>
      <c r="AI427" s="35"/>
      <c r="AJ427" s="24">
        <f t="shared" si="385"/>
        <v>0</v>
      </c>
      <c r="AK427" s="24">
        <f t="shared" si="386"/>
        <v>0</v>
      </c>
      <c r="AL427" s="24">
        <f t="shared" si="387"/>
        <v>0</v>
      </c>
      <c r="AN427" s="37">
        <v>21</v>
      </c>
      <c r="AO427" s="37">
        <f>I427*0.364150943396226</f>
        <v>0</v>
      </c>
      <c r="AP427" s="37">
        <f>I427*(1-0.364150943396226)</f>
        <v>0</v>
      </c>
      <c r="AQ427" s="38" t="s">
        <v>7</v>
      </c>
      <c r="AV427" s="37">
        <f t="shared" si="388"/>
        <v>0</v>
      </c>
      <c r="AW427" s="37">
        <f t="shared" si="389"/>
        <v>0</v>
      </c>
      <c r="AX427" s="37">
        <f t="shared" si="390"/>
        <v>0</v>
      </c>
      <c r="AY427" s="40" t="s">
        <v>1246</v>
      </c>
      <c r="AZ427" s="40" t="s">
        <v>1260</v>
      </c>
      <c r="BA427" s="35" t="s">
        <v>1262</v>
      </c>
      <c r="BC427" s="37">
        <f t="shared" si="391"/>
        <v>0</v>
      </c>
      <c r="BD427" s="37">
        <f t="shared" si="392"/>
        <v>0</v>
      </c>
      <c r="BE427" s="37">
        <v>0</v>
      </c>
      <c r="BF427" s="37">
        <f t="shared" si="393"/>
        <v>427</v>
      </c>
      <c r="BH427" s="24">
        <f t="shared" si="394"/>
        <v>0</v>
      </c>
      <c r="BI427" s="24">
        <f t="shared" si="395"/>
        <v>0</v>
      </c>
      <c r="BJ427" s="24">
        <f t="shared" si="396"/>
        <v>0</v>
      </c>
      <c r="BK427" s="24" t="s">
        <v>1267</v>
      </c>
      <c r="BL427" s="37" t="s">
        <v>654</v>
      </c>
    </row>
    <row r="428" spans="1:64" x14ac:dyDescent="0.25">
      <c r="A428" s="4" t="s">
        <v>315</v>
      </c>
      <c r="B428" s="14" t="s">
        <v>661</v>
      </c>
      <c r="C428" s="130" t="s">
        <v>1081</v>
      </c>
      <c r="D428" s="131"/>
      <c r="E428" s="131"/>
      <c r="F428" s="131"/>
      <c r="G428" s="14" t="s">
        <v>1169</v>
      </c>
      <c r="H428" s="24">
        <v>0.19</v>
      </c>
      <c r="I428" s="24">
        <v>0</v>
      </c>
      <c r="J428" s="24">
        <f t="shared" si="374"/>
        <v>0</v>
      </c>
      <c r="K428" s="24">
        <f t="shared" si="375"/>
        <v>0</v>
      </c>
      <c r="L428" s="24">
        <f t="shared" si="376"/>
        <v>0</v>
      </c>
      <c r="M428" s="24">
        <v>0</v>
      </c>
      <c r="N428" s="46">
        <f>H428*428</f>
        <v>81.320000000000007</v>
      </c>
      <c r="O428" s="5"/>
      <c r="Z428" s="37">
        <f t="shared" si="377"/>
        <v>0</v>
      </c>
      <c r="AB428" s="37">
        <f t="shared" si="378"/>
        <v>0</v>
      </c>
      <c r="AC428" s="37">
        <f t="shared" si="379"/>
        <v>0</v>
      </c>
      <c r="AD428" s="37">
        <f t="shared" si="380"/>
        <v>0</v>
      </c>
      <c r="AE428" s="37">
        <f t="shared" si="381"/>
        <v>0</v>
      </c>
      <c r="AF428" s="37">
        <f t="shared" si="382"/>
        <v>0</v>
      </c>
      <c r="AG428" s="37">
        <f t="shared" si="383"/>
        <v>0</v>
      </c>
      <c r="AH428" s="37">
        <f t="shared" si="384"/>
        <v>0</v>
      </c>
      <c r="AI428" s="35"/>
      <c r="AJ428" s="24">
        <f t="shared" si="385"/>
        <v>0</v>
      </c>
      <c r="AK428" s="24">
        <f t="shared" si="386"/>
        <v>0</v>
      </c>
      <c r="AL428" s="24">
        <f t="shared" si="387"/>
        <v>0</v>
      </c>
      <c r="AN428" s="37">
        <v>21</v>
      </c>
      <c r="AO428" s="37">
        <f>I428*0</f>
        <v>0</v>
      </c>
      <c r="AP428" s="37">
        <f>I428*(1-0)</f>
        <v>0</v>
      </c>
      <c r="AQ428" s="38" t="s">
        <v>8</v>
      </c>
      <c r="AV428" s="37">
        <f t="shared" si="388"/>
        <v>0</v>
      </c>
      <c r="AW428" s="37">
        <f t="shared" si="389"/>
        <v>0</v>
      </c>
      <c r="AX428" s="37">
        <f t="shared" si="390"/>
        <v>0</v>
      </c>
      <c r="AY428" s="40" t="s">
        <v>1246</v>
      </c>
      <c r="AZ428" s="40" t="s">
        <v>1260</v>
      </c>
      <c r="BA428" s="35" t="s">
        <v>1262</v>
      </c>
      <c r="BC428" s="37">
        <f t="shared" si="391"/>
        <v>0</v>
      </c>
      <c r="BD428" s="37">
        <f t="shared" si="392"/>
        <v>0</v>
      </c>
      <c r="BE428" s="37">
        <v>0</v>
      </c>
      <c r="BF428" s="37">
        <f t="shared" si="393"/>
        <v>81.320000000000007</v>
      </c>
      <c r="BH428" s="24">
        <f t="shared" si="394"/>
        <v>0</v>
      </c>
      <c r="BI428" s="24">
        <f t="shared" si="395"/>
        <v>0</v>
      </c>
      <c r="BJ428" s="24">
        <f t="shared" si="396"/>
        <v>0</v>
      </c>
      <c r="BK428" s="24" t="s">
        <v>1267</v>
      </c>
      <c r="BL428" s="37" t="s">
        <v>654</v>
      </c>
    </row>
    <row r="429" spans="1:64" x14ac:dyDescent="0.25">
      <c r="A429" s="5"/>
      <c r="C429" s="18" t="s">
        <v>1082</v>
      </c>
      <c r="F429" s="20" t="s">
        <v>1156</v>
      </c>
      <c r="H429" s="25">
        <v>0.19</v>
      </c>
      <c r="N429" s="36"/>
      <c r="O429" s="5"/>
    </row>
    <row r="430" spans="1:64" x14ac:dyDescent="0.25">
      <c r="A430" s="7" t="s">
        <v>316</v>
      </c>
      <c r="B430" s="16" t="s">
        <v>662</v>
      </c>
      <c r="C430" s="134" t="s">
        <v>1083</v>
      </c>
      <c r="D430" s="135"/>
      <c r="E430" s="135"/>
      <c r="F430" s="135"/>
      <c r="G430" s="16" t="s">
        <v>1165</v>
      </c>
      <c r="H430" s="26">
        <v>2</v>
      </c>
      <c r="I430" s="26">
        <v>0</v>
      </c>
      <c r="J430" s="26">
        <f>H430*AO430</f>
        <v>0</v>
      </c>
      <c r="K430" s="26">
        <f>H430*AP430</f>
        <v>0</v>
      </c>
      <c r="L430" s="26">
        <f>H430*I430</f>
        <v>0</v>
      </c>
      <c r="M430" s="26">
        <v>1E-4</v>
      </c>
      <c r="N430" s="48">
        <f>H430*430</f>
        <v>860</v>
      </c>
      <c r="O430" s="5"/>
      <c r="Z430" s="37">
        <f>IF(AQ430="5",BJ430,0)</f>
        <v>0</v>
      </c>
      <c r="AB430" s="37">
        <f>IF(AQ430="1",BH430,0)</f>
        <v>0</v>
      </c>
      <c r="AC430" s="37">
        <f>IF(AQ430="1",BI430,0)</f>
        <v>0</v>
      </c>
      <c r="AD430" s="37">
        <f>IF(AQ430="7",BH430,0)</f>
        <v>0</v>
      </c>
      <c r="AE430" s="37">
        <f>IF(AQ430="7",BI430,0)</f>
        <v>0</v>
      </c>
      <c r="AF430" s="37">
        <f>IF(AQ430="2",BH430,0)</f>
        <v>0</v>
      </c>
      <c r="AG430" s="37">
        <f>IF(AQ430="2",BI430,0)</f>
        <v>0</v>
      </c>
      <c r="AH430" s="37">
        <f>IF(AQ430="0",BJ430,0)</f>
        <v>0</v>
      </c>
      <c r="AI430" s="35"/>
      <c r="AJ430" s="26">
        <f>IF(AN430=0,L430,0)</f>
        <v>0</v>
      </c>
      <c r="AK430" s="26">
        <f>IF(AN430=15,L430,0)</f>
        <v>0</v>
      </c>
      <c r="AL430" s="26">
        <f>IF(AN430=21,L430,0)</f>
        <v>0</v>
      </c>
      <c r="AN430" s="37">
        <v>21</v>
      </c>
      <c r="AO430" s="37">
        <f>I430*1</f>
        <v>0</v>
      </c>
      <c r="AP430" s="37">
        <f>I430*(1-1)</f>
        <v>0</v>
      </c>
      <c r="AQ430" s="39" t="s">
        <v>7</v>
      </c>
      <c r="AV430" s="37">
        <f>AW430+AX430</f>
        <v>0</v>
      </c>
      <c r="AW430" s="37">
        <f>H430*AO430</f>
        <v>0</v>
      </c>
      <c r="AX430" s="37">
        <f>H430*AP430</f>
        <v>0</v>
      </c>
      <c r="AY430" s="40" t="s">
        <v>1246</v>
      </c>
      <c r="AZ430" s="40" t="s">
        <v>1260</v>
      </c>
      <c r="BA430" s="35" t="s">
        <v>1262</v>
      </c>
      <c r="BC430" s="37">
        <f>AW430+AX430</f>
        <v>0</v>
      </c>
      <c r="BD430" s="37">
        <f>I430/(100-BE430)*100</f>
        <v>0</v>
      </c>
      <c r="BE430" s="37">
        <v>0</v>
      </c>
      <c r="BF430" s="37">
        <f>N430</f>
        <v>860</v>
      </c>
      <c r="BH430" s="26">
        <f>H430*AO430</f>
        <v>0</v>
      </c>
      <c r="BI430" s="26">
        <f>H430*AP430</f>
        <v>0</v>
      </c>
      <c r="BJ430" s="26">
        <f>H430*I430</f>
        <v>0</v>
      </c>
      <c r="BK430" s="26" t="s">
        <v>1268</v>
      </c>
      <c r="BL430" s="37" t="s">
        <v>654</v>
      </c>
    </row>
    <row r="431" spans="1:64" x14ac:dyDescent="0.25">
      <c r="A431" s="5"/>
      <c r="C431" s="18" t="s">
        <v>1084</v>
      </c>
      <c r="F431" s="20" t="s">
        <v>1157</v>
      </c>
      <c r="H431" s="25">
        <v>2</v>
      </c>
      <c r="N431" s="36"/>
      <c r="O431" s="5"/>
    </row>
    <row r="432" spans="1:64" x14ac:dyDescent="0.25">
      <c r="A432" s="4" t="s">
        <v>317</v>
      </c>
      <c r="B432" s="14" t="s">
        <v>663</v>
      </c>
      <c r="C432" s="130" t="s">
        <v>1085</v>
      </c>
      <c r="D432" s="131"/>
      <c r="E432" s="131"/>
      <c r="F432" s="131"/>
      <c r="G432" s="14" t="s">
        <v>1170</v>
      </c>
      <c r="H432" s="24">
        <v>2</v>
      </c>
      <c r="I432" s="24">
        <v>0</v>
      </c>
      <c r="J432" s="24">
        <f>H432*AO432</f>
        <v>0</v>
      </c>
      <c r="K432" s="24">
        <f>H432*AP432</f>
        <v>0</v>
      </c>
      <c r="L432" s="24">
        <f>H432*I432</f>
        <v>0</v>
      </c>
      <c r="M432" s="24">
        <v>0</v>
      </c>
      <c r="N432" s="46">
        <f>H432*432</f>
        <v>864</v>
      </c>
      <c r="O432" s="5"/>
      <c r="Z432" s="37">
        <f>IF(AQ432="5",BJ432,0)</f>
        <v>0</v>
      </c>
      <c r="AB432" s="37">
        <f>IF(AQ432="1",BH432,0)</f>
        <v>0</v>
      </c>
      <c r="AC432" s="37">
        <f>IF(AQ432="1",BI432,0)</f>
        <v>0</v>
      </c>
      <c r="AD432" s="37">
        <f>IF(AQ432="7",BH432,0)</f>
        <v>0</v>
      </c>
      <c r="AE432" s="37">
        <f>IF(AQ432="7",BI432,0)</f>
        <v>0</v>
      </c>
      <c r="AF432" s="37">
        <f>IF(AQ432="2",BH432,0)</f>
        <v>0</v>
      </c>
      <c r="AG432" s="37">
        <f>IF(AQ432="2",BI432,0)</f>
        <v>0</v>
      </c>
      <c r="AH432" s="37">
        <f>IF(AQ432="0",BJ432,0)</f>
        <v>0</v>
      </c>
      <c r="AI432" s="35"/>
      <c r="AJ432" s="24">
        <f>IF(AN432=0,L432,0)</f>
        <v>0</v>
      </c>
      <c r="AK432" s="24">
        <f>IF(AN432=15,L432,0)</f>
        <v>0</v>
      </c>
      <c r="AL432" s="24">
        <f>IF(AN432=21,L432,0)</f>
        <v>0</v>
      </c>
      <c r="AN432" s="37">
        <v>21</v>
      </c>
      <c r="AO432" s="37">
        <f>I432*0</f>
        <v>0</v>
      </c>
      <c r="AP432" s="37">
        <f>I432*(1-0)</f>
        <v>0</v>
      </c>
      <c r="AQ432" s="38" t="s">
        <v>8</v>
      </c>
      <c r="AV432" s="37">
        <f>AW432+AX432</f>
        <v>0</v>
      </c>
      <c r="AW432" s="37">
        <f>H432*AO432</f>
        <v>0</v>
      </c>
      <c r="AX432" s="37">
        <f>H432*AP432</f>
        <v>0</v>
      </c>
      <c r="AY432" s="40" t="s">
        <v>1246</v>
      </c>
      <c r="AZ432" s="40" t="s">
        <v>1260</v>
      </c>
      <c r="BA432" s="35" t="s">
        <v>1262</v>
      </c>
      <c r="BC432" s="37">
        <f>AW432+AX432</f>
        <v>0</v>
      </c>
      <c r="BD432" s="37">
        <f>I432/(100-BE432)*100</f>
        <v>0</v>
      </c>
      <c r="BE432" s="37">
        <v>0</v>
      </c>
      <c r="BF432" s="37">
        <f>N432</f>
        <v>864</v>
      </c>
      <c r="BH432" s="24">
        <f>H432*AO432</f>
        <v>0</v>
      </c>
      <c r="BI432" s="24">
        <f>H432*AP432</f>
        <v>0</v>
      </c>
      <c r="BJ432" s="24">
        <f>H432*I432</f>
        <v>0</v>
      </c>
      <c r="BK432" s="24" t="s">
        <v>1267</v>
      </c>
      <c r="BL432" s="37" t="s">
        <v>654</v>
      </c>
    </row>
    <row r="433" spans="1:64" x14ac:dyDescent="0.25">
      <c r="A433" s="4" t="s">
        <v>318</v>
      </c>
      <c r="B433" s="14" t="s">
        <v>664</v>
      </c>
      <c r="C433" s="130" t="s">
        <v>1086</v>
      </c>
      <c r="D433" s="131"/>
      <c r="E433" s="131"/>
      <c r="F433" s="131"/>
      <c r="G433" s="14" t="s">
        <v>1170</v>
      </c>
      <c r="H433" s="24">
        <v>2</v>
      </c>
      <c r="I433" s="24">
        <v>0</v>
      </c>
      <c r="J433" s="24">
        <f>H433*AO433</f>
        <v>0</v>
      </c>
      <c r="K433" s="24">
        <f>H433*AP433</f>
        <v>0</v>
      </c>
      <c r="L433" s="24">
        <f>H433*I433</f>
        <v>0</v>
      </c>
      <c r="M433" s="24">
        <v>0</v>
      </c>
      <c r="N433" s="46">
        <f>H433*433</f>
        <v>866</v>
      </c>
      <c r="O433" s="5"/>
      <c r="Z433" s="37">
        <f>IF(AQ433="5",BJ433,0)</f>
        <v>0</v>
      </c>
      <c r="AB433" s="37">
        <f>IF(AQ433="1",BH433,0)</f>
        <v>0</v>
      </c>
      <c r="AC433" s="37">
        <f>IF(AQ433="1",BI433,0)</f>
        <v>0</v>
      </c>
      <c r="AD433" s="37">
        <f>IF(AQ433="7",BH433,0)</f>
        <v>0</v>
      </c>
      <c r="AE433" s="37">
        <f>IF(AQ433="7",BI433,0)</f>
        <v>0</v>
      </c>
      <c r="AF433" s="37">
        <f>IF(AQ433="2",BH433,0)</f>
        <v>0</v>
      </c>
      <c r="AG433" s="37">
        <f>IF(AQ433="2",BI433,0)</f>
        <v>0</v>
      </c>
      <c r="AH433" s="37">
        <f>IF(AQ433="0",BJ433,0)</f>
        <v>0</v>
      </c>
      <c r="AI433" s="35"/>
      <c r="AJ433" s="24">
        <f>IF(AN433=0,L433,0)</f>
        <v>0</v>
      </c>
      <c r="AK433" s="24">
        <f>IF(AN433=15,L433,0)</f>
        <v>0</v>
      </c>
      <c r="AL433" s="24">
        <f>IF(AN433=21,L433,0)</f>
        <v>0</v>
      </c>
      <c r="AN433" s="37">
        <v>21</v>
      </c>
      <c r="AO433" s="37">
        <f>I433*0</f>
        <v>0</v>
      </c>
      <c r="AP433" s="37">
        <f>I433*(1-0)</f>
        <v>0</v>
      </c>
      <c r="AQ433" s="38" t="s">
        <v>7</v>
      </c>
      <c r="AV433" s="37">
        <f>AW433+AX433</f>
        <v>0</v>
      </c>
      <c r="AW433" s="37">
        <f>H433*AO433</f>
        <v>0</v>
      </c>
      <c r="AX433" s="37">
        <f>H433*AP433</f>
        <v>0</v>
      </c>
      <c r="AY433" s="40" t="s">
        <v>1246</v>
      </c>
      <c r="AZ433" s="40" t="s">
        <v>1260</v>
      </c>
      <c r="BA433" s="35" t="s">
        <v>1262</v>
      </c>
      <c r="BC433" s="37">
        <f>AW433+AX433</f>
        <v>0</v>
      </c>
      <c r="BD433" s="37">
        <f>I433/(100-BE433)*100</f>
        <v>0</v>
      </c>
      <c r="BE433" s="37">
        <v>0</v>
      </c>
      <c r="BF433" s="37">
        <f>N433</f>
        <v>866</v>
      </c>
      <c r="BH433" s="24">
        <f>H433*AO433</f>
        <v>0</v>
      </c>
      <c r="BI433" s="24">
        <f>H433*AP433</f>
        <v>0</v>
      </c>
      <c r="BJ433" s="24">
        <f>H433*I433</f>
        <v>0</v>
      </c>
      <c r="BK433" s="24" t="s">
        <v>1267</v>
      </c>
      <c r="BL433" s="37" t="s">
        <v>654</v>
      </c>
    </row>
    <row r="434" spans="1:64" x14ac:dyDescent="0.25">
      <c r="A434" s="4" t="s">
        <v>319</v>
      </c>
      <c r="B434" s="14" t="s">
        <v>665</v>
      </c>
      <c r="C434" s="130" t="s">
        <v>1087</v>
      </c>
      <c r="D434" s="131"/>
      <c r="E434" s="131"/>
      <c r="F434" s="131"/>
      <c r="G434" s="14" t="s">
        <v>1170</v>
      </c>
      <c r="H434" s="24">
        <v>2</v>
      </c>
      <c r="I434" s="24">
        <v>0</v>
      </c>
      <c r="J434" s="24">
        <f>H434*AO434</f>
        <v>0</v>
      </c>
      <c r="K434" s="24">
        <f>H434*AP434</f>
        <v>0</v>
      </c>
      <c r="L434" s="24">
        <f>H434*I434</f>
        <v>0</v>
      </c>
      <c r="M434" s="24">
        <v>6.9999999999999999E-4</v>
      </c>
      <c r="N434" s="46">
        <f>H434*434</f>
        <v>868</v>
      </c>
      <c r="O434" s="5"/>
      <c r="Z434" s="37">
        <f>IF(AQ434="5",BJ434,0)</f>
        <v>0</v>
      </c>
      <c r="AB434" s="37">
        <f>IF(AQ434="1",BH434,0)</f>
        <v>0</v>
      </c>
      <c r="AC434" s="37">
        <f>IF(AQ434="1",BI434,0)</f>
        <v>0</v>
      </c>
      <c r="AD434" s="37">
        <f>IF(AQ434="7",BH434,0)</f>
        <v>0</v>
      </c>
      <c r="AE434" s="37">
        <f>IF(AQ434="7",BI434,0)</f>
        <v>0</v>
      </c>
      <c r="AF434" s="37">
        <f>IF(AQ434="2",BH434,0)</f>
        <v>0</v>
      </c>
      <c r="AG434" s="37">
        <f>IF(AQ434="2",BI434,0)</f>
        <v>0</v>
      </c>
      <c r="AH434" s="37">
        <f>IF(AQ434="0",BJ434,0)</f>
        <v>0</v>
      </c>
      <c r="AI434" s="35"/>
      <c r="AJ434" s="24">
        <f>IF(AN434=0,L434,0)</f>
        <v>0</v>
      </c>
      <c r="AK434" s="24">
        <f>IF(AN434=15,L434,0)</f>
        <v>0</v>
      </c>
      <c r="AL434" s="24">
        <f>IF(AN434=21,L434,0)</f>
        <v>0</v>
      </c>
      <c r="AN434" s="37">
        <v>21</v>
      </c>
      <c r="AO434" s="37">
        <f>I434*0.88455772113943</f>
        <v>0</v>
      </c>
      <c r="AP434" s="37">
        <f>I434*(1-0.88455772113943)</f>
        <v>0</v>
      </c>
      <c r="AQ434" s="38" t="s">
        <v>7</v>
      </c>
      <c r="AV434" s="37">
        <f>AW434+AX434</f>
        <v>0</v>
      </c>
      <c r="AW434" s="37">
        <f>H434*AO434</f>
        <v>0</v>
      </c>
      <c r="AX434" s="37">
        <f>H434*AP434</f>
        <v>0</v>
      </c>
      <c r="AY434" s="40" t="s">
        <v>1246</v>
      </c>
      <c r="AZ434" s="40" t="s">
        <v>1260</v>
      </c>
      <c r="BA434" s="35" t="s">
        <v>1262</v>
      </c>
      <c r="BC434" s="37">
        <f>AW434+AX434</f>
        <v>0</v>
      </c>
      <c r="BD434" s="37">
        <f>I434/(100-BE434)*100</f>
        <v>0</v>
      </c>
      <c r="BE434" s="37">
        <v>0</v>
      </c>
      <c r="BF434" s="37">
        <f>N434</f>
        <v>868</v>
      </c>
      <c r="BH434" s="24">
        <f>H434*AO434</f>
        <v>0</v>
      </c>
      <c r="BI434" s="24">
        <f>H434*AP434</f>
        <v>0</v>
      </c>
      <c r="BJ434" s="24">
        <f>H434*I434</f>
        <v>0</v>
      </c>
      <c r="BK434" s="24" t="s">
        <v>1267</v>
      </c>
      <c r="BL434" s="37" t="s">
        <v>654</v>
      </c>
    </row>
    <row r="435" spans="1:64" x14ac:dyDescent="0.25">
      <c r="A435" s="4" t="s">
        <v>320</v>
      </c>
      <c r="B435" s="14" t="s">
        <v>666</v>
      </c>
      <c r="C435" s="130" t="s">
        <v>1088</v>
      </c>
      <c r="D435" s="131"/>
      <c r="E435" s="131"/>
      <c r="F435" s="131"/>
      <c r="G435" s="14" t="s">
        <v>1170</v>
      </c>
      <c r="H435" s="24">
        <v>2</v>
      </c>
      <c r="I435" s="24">
        <v>0</v>
      </c>
      <c r="J435" s="24">
        <f>H435*AO435</f>
        <v>0</v>
      </c>
      <c r="K435" s="24">
        <f>H435*AP435</f>
        <v>0</v>
      </c>
      <c r="L435" s="24">
        <f>H435*I435</f>
        <v>0</v>
      </c>
      <c r="M435" s="24">
        <v>1.6000000000000001E-3</v>
      </c>
      <c r="N435" s="46">
        <f>H435*435</f>
        <v>870</v>
      </c>
      <c r="O435" s="5"/>
      <c r="Z435" s="37">
        <f>IF(AQ435="5",BJ435,0)</f>
        <v>0</v>
      </c>
      <c r="AB435" s="37">
        <f>IF(AQ435="1",BH435,0)</f>
        <v>0</v>
      </c>
      <c r="AC435" s="37">
        <f>IF(AQ435="1",BI435,0)</f>
        <v>0</v>
      </c>
      <c r="AD435" s="37">
        <f>IF(AQ435="7",BH435,0)</f>
        <v>0</v>
      </c>
      <c r="AE435" s="37">
        <f>IF(AQ435="7",BI435,0)</f>
        <v>0</v>
      </c>
      <c r="AF435" s="37">
        <f>IF(AQ435="2",BH435,0)</f>
        <v>0</v>
      </c>
      <c r="AG435" s="37">
        <f>IF(AQ435="2",BI435,0)</f>
        <v>0</v>
      </c>
      <c r="AH435" s="37">
        <f>IF(AQ435="0",BJ435,0)</f>
        <v>0</v>
      </c>
      <c r="AI435" s="35"/>
      <c r="AJ435" s="24">
        <f>IF(AN435=0,L435,0)</f>
        <v>0</v>
      </c>
      <c r="AK435" s="24">
        <f>IF(AN435=15,L435,0)</f>
        <v>0</v>
      </c>
      <c r="AL435" s="24">
        <f>IF(AN435=21,L435,0)</f>
        <v>0</v>
      </c>
      <c r="AN435" s="37">
        <v>21</v>
      </c>
      <c r="AO435" s="37">
        <f>I435*0.935851624978731</f>
        <v>0</v>
      </c>
      <c r="AP435" s="37">
        <f>I435*(1-0.935851624978731)</f>
        <v>0</v>
      </c>
      <c r="AQ435" s="38" t="s">
        <v>7</v>
      </c>
      <c r="AV435" s="37">
        <f>AW435+AX435</f>
        <v>0</v>
      </c>
      <c r="AW435" s="37">
        <f>H435*AO435</f>
        <v>0</v>
      </c>
      <c r="AX435" s="37">
        <f>H435*AP435</f>
        <v>0</v>
      </c>
      <c r="AY435" s="40" t="s">
        <v>1246</v>
      </c>
      <c r="AZ435" s="40" t="s">
        <v>1260</v>
      </c>
      <c r="BA435" s="35" t="s">
        <v>1262</v>
      </c>
      <c r="BC435" s="37">
        <f>AW435+AX435</f>
        <v>0</v>
      </c>
      <c r="BD435" s="37">
        <f>I435/(100-BE435)*100</f>
        <v>0</v>
      </c>
      <c r="BE435" s="37">
        <v>0</v>
      </c>
      <c r="BF435" s="37">
        <f>N435</f>
        <v>870</v>
      </c>
      <c r="BH435" s="24">
        <f>H435*AO435</f>
        <v>0</v>
      </c>
      <c r="BI435" s="24">
        <f>H435*AP435</f>
        <v>0</v>
      </c>
      <c r="BJ435" s="24">
        <f>H435*I435</f>
        <v>0</v>
      </c>
      <c r="BK435" s="24" t="s">
        <v>1267</v>
      </c>
      <c r="BL435" s="37" t="s">
        <v>654</v>
      </c>
    </row>
    <row r="436" spans="1:64" x14ac:dyDescent="0.25">
      <c r="A436" s="6"/>
      <c r="B436" s="15" t="s">
        <v>667</v>
      </c>
      <c r="C436" s="132" t="s">
        <v>1089</v>
      </c>
      <c r="D436" s="133"/>
      <c r="E436" s="133"/>
      <c r="F436" s="133"/>
      <c r="G436" s="22" t="s">
        <v>6</v>
      </c>
      <c r="H436" s="22" t="s">
        <v>6</v>
      </c>
      <c r="I436" s="22" t="s">
        <v>6</v>
      </c>
      <c r="J436" s="43">
        <f>SUM(J437:J453)</f>
        <v>0</v>
      </c>
      <c r="K436" s="43">
        <f>SUM(K437:K453)</f>
        <v>0</v>
      </c>
      <c r="L436" s="43">
        <f>SUM(L437:L453)</f>
        <v>0</v>
      </c>
      <c r="M436" s="35"/>
      <c r="N436" s="47">
        <f>SUM(N437:N453)</f>
        <v>61247.46</v>
      </c>
      <c r="O436" s="5"/>
      <c r="AI436" s="35"/>
      <c r="AS436" s="43">
        <f>SUM(AJ437:AJ453)</f>
        <v>0</v>
      </c>
      <c r="AT436" s="43">
        <f>SUM(AK437:AK453)</f>
        <v>0</v>
      </c>
      <c r="AU436" s="43">
        <f>SUM(AL437:AL453)</f>
        <v>0</v>
      </c>
    </row>
    <row r="437" spans="1:64" x14ac:dyDescent="0.25">
      <c r="A437" s="4" t="s">
        <v>321</v>
      </c>
      <c r="B437" s="14" t="s">
        <v>668</v>
      </c>
      <c r="C437" s="130" t="s">
        <v>1090</v>
      </c>
      <c r="D437" s="131"/>
      <c r="E437" s="131"/>
      <c r="F437" s="131"/>
      <c r="G437" s="14" t="s">
        <v>1165</v>
      </c>
      <c r="H437" s="24">
        <v>14</v>
      </c>
      <c r="I437" s="24">
        <v>0</v>
      </c>
      <c r="J437" s="24">
        <f>H437*AO437</f>
        <v>0</v>
      </c>
      <c r="K437" s="24">
        <f>H437*AP437</f>
        <v>0</v>
      </c>
      <c r="L437" s="24">
        <f>H437*I437</f>
        <v>0</v>
      </c>
      <c r="M437" s="24">
        <v>0</v>
      </c>
      <c r="N437" s="46">
        <f>H437*437</f>
        <v>6118</v>
      </c>
      <c r="O437" s="5"/>
      <c r="Z437" s="37">
        <f>IF(AQ437="5",BJ437,0)</f>
        <v>0</v>
      </c>
      <c r="AB437" s="37">
        <f>IF(AQ437="1",BH437,0)</f>
        <v>0</v>
      </c>
      <c r="AC437" s="37">
        <f>IF(AQ437="1",BI437,0)</f>
        <v>0</v>
      </c>
      <c r="AD437" s="37">
        <f>IF(AQ437="7",BH437,0)</f>
        <v>0</v>
      </c>
      <c r="AE437" s="37">
        <f>IF(AQ437="7",BI437,0)</f>
        <v>0</v>
      </c>
      <c r="AF437" s="37">
        <f>IF(AQ437="2",BH437,0)</f>
        <v>0</v>
      </c>
      <c r="AG437" s="37">
        <f>IF(AQ437="2",BI437,0)</f>
        <v>0</v>
      </c>
      <c r="AH437" s="37">
        <f>IF(AQ437="0",BJ437,0)</f>
        <v>0</v>
      </c>
      <c r="AI437" s="35"/>
      <c r="AJ437" s="24">
        <f>IF(AN437=0,L437,0)</f>
        <v>0</v>
      </c>
      <c r="AK437" s="24">
        <f>IF(AN437=15,L437,0)</f>
        <v>0</v>
      </c>
      <c r="AL437" s="24">
        <f>IF(AN437=21,L437,0)</f>
        <v>0</v>
      </c>
      <c r="AN437" s="37">
        <v>21</v>
      </c>
      <c r="AO437" s="37">
        <f>I437*0.227666666666667</f>
        <v>0</v>
      </c>
      <c r="AP437" s="37">
        <f>I437*(1-0.227666666666667)</f>
        <v>0</v>
      </c>
      <c r="AQ437" s="38" t="s">
        <v>8</v>
      </c>
      <c r="AV437" s="37">
        <f>AW437+AX437</f>
        <v>0</v>
      </c>
      <c r="AW437" s="37">
        <f>H437*AO437</f>
        <v>0</v>
      </c>
      <c r="AX437" s="37">
        <f>H437*AP437</f>
        <v>0</v>
      </c>
      <c r="AY437" s="40" t="s">
        <v>1247</v>
      </c>
      <c r="AZ437" s="40" t="s">
        <v>1260</v>
      </c>
      <c r="BA437" s="35" t="s">
        <v>1262</v>
      </c>
      <c r="BC437" s="37">
        <f>AW437+AX437</f>
        <v>0</v>
      </c>
      <c r="BD437" s="37">
        <f>I437/(100-BE437)*100</f>
        <v>0</v>
      </c>
      <c r="BE437" s="37">
        <v>0</v>
      </c>
      <c r="BF437" s="37">
        <f>N437</f>
        <v>6118</v>
      </c>
      <c r="BH437" s="24">
        <f>H437*AO437</f>
        <v>0</v>
      </c>
      <c r="BI437" s="24">
        <f>H437*AP437</f>
        <v>0</v>
      </c>
      <c r="BJ437" s="24">
        <f>H437*I437</f>
        <v>0</v>
      </c>
      <c r="BK437" s="24" t="s">
        <v>1267</v>
      </c>
      <c r="BL437" s="37" t="s">
        <v>667</v>
      </c>
    </row>
    <row r="438" spans="1:64" x14ac:dyDescent="0.25">
      <c r="A438" s="4" t="s">
        <v>322</v>
      </c>
      <c r="B438" s="14" t="s">
        <v>669</v>
      </c>
      <c r="C438" s="130" t="s">
        <v>1091</v>
      </c>
      <c r="D438" s="131"/>
      <c r="E438" s="131"/>
      <c r="F438" s="131"/>
      <c r="G438" s="14" t="s">
        <v>1167</v>
      </c>
      <c r="H438" s="24">
        <v>0.33</v>
      </c>
      <c r="I438" s="24">
        <v>0</v>
      </c>
      <c r="J438" s="24">
        <f>H438*AO438</f>
        <v>0</v>
      </c>
      <c r="K438" s="24">
        <f>H438*AP438</f>
        <v>0</v>
      </c>
      <c r="L438" s="24">
        <f>H438*I438</f>
        <v>0</v>
      </c>
      <c r="M438" s="24">
        <v>0</v>
      </c>
      <c r="N438" s="46">
        <f>H438*438</f>
        <v>144.54000000000002</v>
      </c>
      <c r="O438" s="5"/>
      <c r="Z438" s="37">
        <f>IF(AQ438="5",BJ438,0)</f>
        <v>0</v>
      </c>
      <c r="AB438" s="37">
        <f>IF(AQ438="1",BH438,0)</f>
        <v>0</v>
      </c>
      <c r="AC438" s="37">
        <f>IF(AQ438="1",BI438,0)</f>
        <v>0</v>
      </c>
      <c r="AD438" s="37">
        <f>IF(AQ438="7",BH438,0)</f>
        <v>0</v>
      </c>
      <c r="AE438" s="37">
        <f>IF(AQ438="7",BI438,0)</f>
        <v>0</v>
      </c>
      <c r="AF438" s="37">
        <f>IF(AQ438="2",BH438,0)</f>
        <v>0</v>
      </c>
      <c r="AG438" s="37">
        <f>IF(AQ438="2",BI438,0)</f>
        <v>0</v>
      </c>
      <c r="AH438" s="37">
        <f>IF(AQ438="0",BJ438,0)</f>
        <v>0</v>
      </c>
      <c r="AI438" s="35"/>
      <c r="AJ438" s="24">
        <f>IF(AN438=0,L438,0)</f>
        <v>0</v>
      </c>
      <c r="AK438" s="24">
        <f>IF(AN438=15,L438,0)</f>
        <v>0</v>
      </c>
      <c r="AL438" s="24">
        <f>IF(AN438=21,L438,0)</f>
        <v>0</v>
      </c>
      <c r="AN438" s="37">
        <v>21</v>
      </c>
      <c r="AO438" s="37">
        <f>I438*0</f>
        <v>0</v>
      </c>
      <c r="AP438" s="37">
        <f>I438*(1-0)</f>
        <v>0</v>
      </c>
      <c r="AQ438" s="38" t="s">
        <v>7</v>
      </c>
      <c r="AV438" s="37">
        <f>AW438+AX438</f>
        <v>0</v>
      </c>
      <c r="AW438" s="37">
        <f>H438*AO438</f>
        <v>0</v>
      </c>
      <c r="AX438" s="37">
        <f>H438*AP438</f>
        <v>0</v>
      </c>
      <c r="AY438" s="40" t="s">
        <v>1247</v>
      </c>
      <c r="AZ438" s="40" t="s">
        <v>1260</v>
      </c>
      <c r="BA438" s="35" t="s">
        <v>1262</v>
      </c>
      <c r="BC438" s="37">
        <f>AW438+AX438</f>
        <v>0</v>
      </c>
      <c r="BD438" s="37">
        <f>I438/(100-BE438)*100</f>
        <v>0</v>
      </c>
      <c r="BE438" s="37">
        <v>0</v>
      </c>
      <c r="BF438" s="37">
        <f>N438</f>
        <v>144.54000000000002</v>
      </c>
      <c r="BH438" s="24">
        <f>H438*AO438</f>
        <v>0</v>
      </c>
      <c r="BI438" s="24">
        <f>H438*AP438</f>
        <v>0</v>
      </c>
      <c r="BJ438" s="24">
        <f>H438*I438</f>
        <v>0</v>
      </c>
      <c r="BK438" s="24" t="s">
        <v>1267</v>
      </c>
      <c r="BL438" s="37" t="s">
        <v>667</v>
      </c>
    </row>
    <row r="439" spans="1:64" x14ac:dyDescent="0.25">
      <c r="A439" s="5"/>
      <c r="C439" s="18" t="s">
        <v>750</v>
      </c>
      <c r="F439" s="20"/>
      <c r="H439" s="25">
        <v>0.33</v>
      </c>
      <c r="N439" s="36"/>
      <c r="O439" s="5"/>
    </row>
    <row r="440" spans="1:64" x14ac:dyDescent="0.25">
      <c r="A440" s="4" t="s">
        <v>323</v>
      </c>
      <c r="B440" s="14" t="s">
        <v>670</v>
      </c>
      <c r="C440" s="130" t="s">
        <v>1092</v>
      </c>
      <c r="D440" s="131"/>
      <c r="E440" s="131"/>
      <c r="F440" s="131"/>
      <c r="G440" s="14" t="s">
        <v>1169</v>
      </c>
      <c r="H440" s="24">
        <v>6.72</v>
      </c>
      <c r="I440" s="24">
        <v>0</v>
      </c>
      <c r="J440" s="24">
        <f>H440*AO440</f>
        <v>0</v>
      </c>
      <c r="K440" s="24">
        <f>H440*AP440</f>
        <v>0</v>
      </c>
      <c r="L440" s="24">
        <f>H440*I440</f>
        <v>0</v>
      </c>
      <c r="M440" s="24">
        <v>0</v>
      </c>
      <c r="N440" s="46">
        <f>H440*440</f>
        <v>2956.7999999999997</v>
      </c>
      <c r="O440" s="5"/>
      <c r="Z440" s="37">
        <f>IF(AQ440="5",BJ440,0)</f>
        <v>0</v>
      </c>
      <c r="AB440" s="37">
        <f>IF(AQ440="1",BH440,0)</f>
        <v>0</v>
      </c>
      <c r="AC440" s="37">
        <f>IF(AQ440="1",BI440,0)</f>
        <v>0</v>
      </c>
      <c r="AD440" s="37">
        <f>IF(AQ440="7",BH440,0)</f>
        <v>0</v>
      </c>
      <c r="AE440" s="37">
        <f>IF(AQ440="7",BI440,0)</f>
        <v>0</v>
      </c>
      <c r="AF440" s="37">
        <f>IF(AQ440="2",BH440,0)</f>
        <v>0</v>
      </c>
      <c r="AG440" s="37">
        <f>IF(AQ440="2",BI440,0)</f>
        <v>0</v>
      </c>
      <c r="AH440" s="37">
        <f>IF(AQ440="0",BJ440,0)</f>
        <v>0</v>
      </c>
      <c r="AI440" s="35"/>
      <c r="AJ440" s="24">
        <f>IF(AN440=0,L440,0)</f>
        <v>0</v>
      </c>
      <c r="AK440" s="24">
        <f>IF(AN440=15,L440,0)</f>
        <v>0</v>
      </c>
      <c r="AL440" s="24">
        <f>IF(AN440=21,L440,0)</f>
        <v>0</v>
      </c>
      <c r="AN440" s="37">
        <v>21</v>
      </c>
      <c r="AO440" s="37">
        <f>I440*0</f>
        <v>0</v>
      </c>
      <c r="AP440" s="37">
        <f>I440*(1-0)</f>
        <v>0</v>
      </c>
      <c r="AQ440" s="38" t="s">
        <v>8</v>
      </c>
      <c r="AV440" s="37">
        <f>AW440+AX440</f>
        <v>0</v>
      </c>
      <c r="AW440" s="37">
        <f>H440*AO440</f>
        <v>0</v>
      </c>
      <c r="AX440" s="37">
        <f>H440*AP440</f>
        <v>0</v>
      </c>
      <c r="AY440" s="40" t="s">
        <v>1247</v>
      </c>
      <c r="AZ440" s="40" t="s">
        <v>1260</v>
      </c>
      <c r="BA440" s="35" t="s">
        <v>1262</v>
      </c>
      <c r="BC440" s="37">
        <f>AW440+AX440</f>
        <v>0</v>
      </c>
      <c r="BD440" s="37">
        <f>I440/(100-BE440)*100</f>
        <v>0</v>
      </c>
      <c r="BE440" s="37">
        <v>0</v>
      </c>
      <c r="BF440" s="37">
        <f>N440</f>
        <v>2956.7999999999997</v>
      </c>
      <c r="BH440" s="24">
        <f>H440*AO440</f>
        <v>0</v>
      </c>
      <c r="BI440" s="24">
        <f>H440*AP440</f>
        <v>0</v>
      </c>
      <c r="BJ440" s="24">
        <f>H440*I440</f>
        <v>0</v>
      </c>
      <c r="BK440" s="24" t="s">
        <v>1267</v>
      </c>
      <c r="BL440" s="37" t="s">
        <v>667</v>
      </c>
    </row>
    <row r="441" spans="1:64" x14ac:dyDescent="0.25">
      <c r="A441" s="5"/>
      <c r="C441" s="18" t="s">
        <v>1093</v>
      </c>
      <c r="F441" s="20"/>
      <c r="H441" s="25">
        <v>6.72</v>
      </c>
      <c r="N441" s="36"/>
      <c r="O441" s="5"/>
    </row>
    <row r="442" spans="1:64" x14ac:dyDescent="0.25">
      <c r="A442" s="4" t="s">
        <v>324</v>
      </c>
      <c r="B442" s="14" t="s">
        <v>671</v>
      </c>
      <c r="C442" s="130" t="s">
        <v>1094</v>
      </c>
      <c r="D442" s="131"/>
      <c r="E442" s="131"/>
      <c r="F442" s="131"/>
      <c r="G442" s="14" t="s">
        <v>1169</v>
      </c>
      <c r="H442" s="24">
        <v>9.9</v>
      </c>
      <c r="I442" s="24">
        <v>0</v>
      </c>
      <c r="J442" s="24">
        <f>H442*AO442</f>
        <v>0</v>
      </c>
      <c r="K442" s="24">
        <f>H442*AP442</f>
        <v>0</v>
      </c>
      <c r="L442" s="24">
        <f>H442*I442</f>
        <v>0</v>
      </c>
      <c r="M442" s="24">
        <v>0</v>
      </c>
      <c r="N442" s="46">
        <f>H442*442</f>
        <v>4375.8</v>
      </c>
      <c r="O442" s="5"/>
      <c r="Z442" s="37">
        <f>IF(AQ442="5",BJ442,0)</f>
        <v>0</v>
      </c>
      <c r="AB442" s="37">
        <f>IF(AQ442="1",BH442,0)</f>
        <v>0</v>
      </c>
      <c r="AC442" s="37">
        <f>IF(AQ442="1",BI442,0)</f>
        <v>0</v>
      </c>
      <c r="AD442" s="37">
        <f>IF(AQ442="7",BH442,0)</f>
        <v>0</v>
      </c>
      <c r="AE442" s="37">
        <f>IF(AQ442="7",BI442,0)</f>
        <v>0</v>
      </c>
      <c r="AF442" s="37">
        <f>IF(AQ442="2",BH442,0)</f>
        <v>0</v>
      </c>
      <c r="AG442" s="37">
        <f>IF(AQ442="2",BI442,0)</f>
        <v>0</v>
      </c>
      <c r="AH442" s="37">
        <f>IF(AQ442="0",BJ442,0)</f>
        <v>0</v>
      </c>
      <c r="AI442" s="35"/>
      <c r="AJ442" s="24">
        <f>IF(AN442=0,L442,0)</f>
        <v>0</v>
      </c>
      <c r="AK442" s="24">
        <f>IF(AN442=15,L442,0)</f>
        <v>0</v>
      </c>
      <c r="AL442" s="24">
        <f>IF(AN442=21,L442,0)</f>
        <v>0</v>
      </c>
      <c r="AN442" s="37">
        <v>21</v>
      </c>
      <c r="AO442" s="37">
        <f>I442*0</f>
        <v>0</v>
      </c>
      <c r="AP442" s="37">
        <f>I442*(1-0)</f>
        <v>0</v>
      </c>
      <c r="AQ442" s="38" t="s">
        <v>8</v>
      </c>
      <c r="AV442" s="37">
        <f>AW442+AX442</f>
        <v>0</v>
      </c>
      <c r="AW442" s="37">
        <f>H442*AO442</f>
        <v>0</v>
      </c>
      <c r="AX442" s="37">
        <f>H442*AP442</f>
        <v>0</v>
      </c>
      <c r="AY442" s="40" t="s">
        <v>1247</v>
      </c>
      <c r="AZ442" s="40" t="s">
        <v>1260</v>
      </c>
      <c r="BA442" s="35" t="s">
        <v>1262</v>
      </c>
      <c r="BC442" s="37">
        <f>AW442+AX442</f>
        <v>0</v>
      </c>
      <c r="BD442" s="37">
        <f>I442/(100-BE442)*100</f>
        <v>0</v>
      </c>
      <c r="BE442" s="37">
        <v>0</v>
      </c>
      <c r="BF442" s="37">
        <f>N442</f>
        <v>4375.8</v>
      </c>
      <c r="BH442" s="24">
        <f>H442*AO442</f>
        <v>0</v>
      </c>
      <c r="BI442" s="24">
        <f>H442*AP442</f>
        <v>0</v>
      </c>
      <c r="BJ442" s="24">
        <f>H442*I442</f>
        <v>0</v>
      </c>
      <c r="BK442" s="24" t="s">
        <v>1267</v>
      </c>
      <c r="BL442" s="37" t="s">
        <v>667</v>
      </c>
    </row>
    <row r="443" spans="1:64" x14ac:dyDescent="0.25">
      <c r="A443" s="5"/>
      <c r="C443" s="18" t="s">
        <v>748</v>
      </c>
      <c r="F443" s="20"/>
      <c r="H443" s="25">
        <v>9.9</v>
      </c>
      <c r="N443" s="36"/>
      <c r="O443" s="5"/>
    </row>
    <row r="444" spans="1:64" x14ac:dyDescent="0.25">
      <c r="A444" s="4" t="s">
        <v>325</v>
      </c>
      <c r="B444" s="14" t="s">
        <v>672</v>
      </c>
      <c r="C444" s="130" t="s">
        <v>1095</v>
      </c>
      <c r="D444" s="131"/>
      <c r="E444" s="131"/>
      <c r="F444" s="131"/>
      <c r="G444" s="14" t="s">
        <v>1169</v>
      </c>
      <c r="H444" s="24">
        <v>0.78</v>
      </c>
      <c r="I444" s="24">
        <v>0</v>
      </c>
      <c r="J444" s="24">
        <f>H444*AO444</f>
        <v>0</v>
      </c>
      <c r="K444" s="24">
        <f>H444*AP444</f>
        <v>0</v>
      </c>
      <c r="L444" s="24">
        <f>H444*I444</f>
        <v>0</v>
      </c>
      <c r="M444" s="24">
        <v>0.13800000000000001</v>
      </c>
      <c r="N444" s="46">
        <f>H444*444</f>
        <v>346.32</v>
      </c>
      <c r="O444" s="5"/>
      <c r="Z444" s="37">
        <f>IF(AQ444="5",BJ444,0)</f>
        <v>0</v>
      </c>
      <c r="AB444" s="37">
        <f>IF(AQ444="1",BH444,0)</f>
        <v>0</v>
      </c>
      <c r="AC444" s="37">
        <f>IF(AQ444="1",BI444,0)</f>
        <v>0</v>
      </c>
      <c r="AD444" s="37">
        <f>IF(AQ444="7",BH444,0)</f>
        <v>0</v>
      </c>
      <c r="AE444" s="37">
        <f>IF(AQ444="7",BI444,0)</f>
        <v>0</v>
      </c>
      <c r="AF444" s="37">
        <f>IF(AQ444="2",BH444,0)</f>
        <v>0</v>
      </c>
      <c r="AG444" s="37">
        <f>IF(AQ444="2",BI444,0)</f>
        <v>0</v>
      </c>
      <c r="AH444" s="37">
        <f>IF(AQ444="0",BJ444,0)</f>
        <v>0</v>
      </c>
      <c r="AI444" s="35"/>
      <c r="AJ444" s="24">
        <f>IF(AN444=0,L444,0)</f>
        <v>0</v>
      </c>
      <c r="AK444" s="24">
        <f>IF(AN444=15,L444,0)</f>
        <v>0</v>
      </c>
      <c r="AL444" s="24">
        <f>IF(AN444=21,L444,0)</f>
        <v>0</v>
      </c>
      <c r="AN444" s="37">
        <v>21</v>
      </c>
      <c r="AO444" s="37">
        <f>I444*0</f>
        <v>0</v>
      </c>
      <c r="AP444" s="37">
        <f>I444*(1-0)</f>
        <v>0</v>
      </c>
      <c r="AQ444" s="38" t="s">
        <v>7</v>
      </c>
      <c r="AV444" s="37">
        <f>AW444+AX444</f>
        <v>0</v>
      </c>
      <c r="AW444" s="37">
        <f>H444*AO444</f>
        <v>0</v>
      </c>
      <c r="AX444" s="37">
        <f>H444*AP444</f>
        <v>0</v>
      </c>
      <c r="AY444" s="40" t="s">
        <v>1247</v>
      </c>
      <c r="AZ444" s="40" t="s">
        <v>1260</v>
      </c>
      <c r="BA444" s="35" t="s">
        <v>1262</v>
      </c>
      <c r="BC444" s="37">
        <f>AW444+AX444</f>
        <v>0</v>
      </c>
      <c r="BD444" s="37">
        <f>I444/(100-BE444)*100</f>
        <v>0</v>
      </c>
      <c r="BE444" s="37">
        <v>0</v>
      </c>
      <c r="BF444" s="37">
        <f>N444</f>
        <v>346.32</v>
      </c>
      <c r="BH444" s="24">
        <f>H444*AO444</f>
        <v>0</v>
      </c>
      <c r="BI444" s="24">
        <f>H444*AP444</f>
        <v>0</v>
      </c>
      <c r="BJ444" s="24">
        <f>H444*I444</f>
        <v>0</v>
      </c>
      <c r="BK444" s="24" t="s">
        <v>1267</v>
      </c>
      <c r="BL444" s="37" t="s">
        <v>667</v>
      </c>
    </row>
    <row r="445" spans="1:64" x14ac:dyDescent="0.25">
      <c r="A445" s="5"/>
      <c r="C445" s="18" t="s">
        <v>746</v>
      </c>
      <c r="F445" s="20"/>
      <c r="H445" s="25">
        <v>0.78</v>
      </c>
      <c r="N445" s="36"/>
      <c r="O445" s="5"/>
    </row>
    <row r="446" spans="1:64" x14ac:dyDescent="0.25">
      <c r="A446" s="4" t="s">
        <v>326</v>
      </c>
      <c r="B446" s="14" t="s">
        <v>673</v>
      </c>
      <c r="C446" s="130" t="s">
        <v>1096</v>
      </c>
      <c r="D446" s="131"/>
      <c r="E446" s="131"/>
      <c r="F446" s="131"/>
      <c r="G446" s="14" t="s">
        <v>1165</v>
      </c>
      <c r="H446" s="24">
        <v>1</v>
      </c>
      <c r="I446" s="24">
        <v>0</v>
      </c>
      <c r="J446" s="24">
        <f>H446*AO446</f>
        <v>0</v>
      </c>
      <c r="K446" s="24">
        <f>H446*AP446</f>
        <v>0</v>
      </c>
      <c r="L446" s="24">
        <f>H446*I446</f>
        <v>0</v>
      </c>
      <c r="M446" s="24">
        <v>0.22</v>
      </c>
      <c r="N446" s="46">
        <f>H446*446</f>
        <v>446</v>
      </c>
      <c r="O446" s="5"/>
      <c r="Z446" s="37">
        <f>IF(AQ446="5",BJ446,0)</f>
        <v>0</v>
      </c>
      <c r="AB446" s="37">
        <f>IF(AQ446="1",BH446,0)</f>
        <v>0</v>
      </c>
      <c r="AC446" s="37">
        <f>IF(AQ446="1",BI446,0)</f>
        <v>0</v>
      </c>
      <c r="AD446" s="37">
        <f>IF(AQ446="7",BH446,0)</f>
        <v>0</v>
      </c>
      <c r="AE446" s="37">
        <f>IF(AQ446="7",BI446,0)</f>
        <v>0</v>
      </c>
      <c r="AF446" s="37">
        <f>IF(AQ446="2",BH446,0)</f>
        <v>0</v>
      </c>
      <c r="AG446" s="37">
        <f>IF(AQ446="2",BI446,0)</f>
        <v>0</v>
      </c>
      <c r="AH446" s="37">
        <f>IF(AQ446="0",BJ446,0)</f>
        <v>0</v>
      </c>
      <c r="AI446" s="35"/>
      <c r="AJ446" s="24">
        <f>IF(AN446=0,L446,0)</f>
        <v>0</v>
      </c>
      <c r="AK446" s="24">
        <f>IF(AN446=15,L446,0)</f>
        <v>0</v>
      </c>
      <c r="AL446" s="24">
        <f>IF(AN446=21,L446,0)</f>
        <v>0</v>
      </c>
      <c r="AN446" s="37">
        <v>21</v>
      </c>
      <c r="AO446" s="37">
        <f>I446*0</f>
        <v>0</v>
      </c>
      <c r="AP446" s="37">
        <f>I446*(1-0)</f>
        <v>0</v>
      </c>
      <c r="AQ446" s="38" t="s">
        <v>7</v>
      </c>
      <c r="AV446" s="37">
        <f>AW446+AX446</f>
        <v>0</v>
      </c>
      <c r="AW446" s="37">
        <f>H446*AO446</f>
        <v>0</v>
      </c>
      <c r="AX446" s="37">
        <f>H446*AP446</f>
        <v>0</v>
      </c>
      <c r="AY446" s="40" t="s">
        <v>1247</v>
      </c>
      <c r="AZ446" s="40" t="s">
        <v>1260</v>
      </c>
      <c r="BA446" s="35" t="s">
        <v>1262</v>
      </c>
      <c r="BC446" s="37">
        <f>AW446+AX446</f>
        <v>0</v>
      </c>
      <c r="BD446" s="37">
        <f>I446/(100-BE446)*100</f>
        <v>0</v>
      </c>
      <c r="BE446" s="37">
        <v>0</v>
      </c>
      <c r="BF446" s="37">
        <f>N446</f>
        <v>446</v>
      </c>
      <c r="BH446" s="24">
        <f>H446*AO446</f>
        <v>0</v>
      </c>
      <c r="BI446" s="24">
        <f>H446*AP446</f>
        <v>0</v>
      </c>
      <c r="BJ446" s="24">
        <f>H446*I446</f>
        <v>0</v>
      </c>
      <c r="BK446" s="24" t="s">
        <v>1267</v>
      </c>
      <c r="BL446" s="37" t="s">
        <v>667</v>
      </c>
    </row>
    <row r="447" spans="1:64" x14ac:dyDescent="0.25">
      <c r="A447" s="4" t="s">
        <v>327</v>
      </c>
      <c r="B447" s="14" t="s">
        <v>674</v>
      </c>
      <c r="C447" s="130" t="s">
        <v>1097</v>
      </c>
      <c r="D447" s="131"/>
      <c r="E447" s="131"/>
      <c r="F447" s="131"/>
      <c r="G447" s="14" t="s">
        <v>1170</v>
      </c>
      <c r="H447" s="24">
        <v>21</v>
      </c>
      <c r="I447" s="24">
        <v>0</v>
      </c>
      <c r="J447" s="24">
        <f>H447*AO447</f>
        <v>0</v>
      </c>
      <c r="K447" s="24">
        <f>H447*AP447</f>
        <v>0</v>
      </c>
      <c r="L447" s="24">
        <f>H447*I447</f>
        <v>0</v>
      </c>
      <c r="M447" s="24">
        <v>2.5000000000000001E-2</v>
      </c>
      <c r="N447" s="46">
        <f>H447*447</f>
        <v>9387</v>
      </c>
      <c r="O447" s="5"/>
      <c r="Z447" s="37">
        <f>IF(AQ447="5",BJ447,0)</f>
        <v>0</v>
      </c>
      <c r="AB447" s="37">
        <f>IF(AQ447="1",BH447,0)</f>
        <v>0</v>
      </c>
      <c r="AC447" s="37">
        <f>IF(AQ447="1",BI447,0)</f>
        <v>0</v>
      </c>
      <c r="AD447" s="37">
        <f>IF(AQ447="7",BH447,0)</f>
        <v>0</v>
      </c>
      <c r="AE447" s="37">
        <f>IF(AQ447="7",BI447,0)</f>
        <v>0</v>
      </c>
      <c r="AF447" s="37">
        <f>IF(AQ447="2",BH447,0)</f>
        <v>0</v>
      </c>
      <c r="AG447" s="37">
        <f>IF(AQ447="2",BI447,0)</f>
        <v>0</v>
      </c>
      <c r="AH447" s="37">
        <f>IF(AQ447="0",BJ447,0)</f>
        <v>0</v>
      </c>
      <c r="AI447" s="35"/>
      <c r="AJ447" s="24">
        <f>IF(AN447=0,L447,0)</f>
        <v>0</v>
      </c>
      <c r="AK447" s="24">
        <f>IF(AN447=15,L447,0)</f>
        <v>0</v>
      </c>
      <c r="AL447" s="24">
        <f>IF(AN447=21,L447,0)</f>
        <v>0</v>
      </c>
      <c r="AN447" s="37">
        <v>21</v>
      </c>
      <c r="AO447" s="37">
        <f>I447*0</f>
        <v>0</v>
      </c>
      <c r="AP447" s="37">
        <f>I447*(1-0)</f>
        <v>0</v>
      </c>
      <c r="AQ447" s="38" t="s">
        <v>8</v>
      </c>
      <c r="AV447" s="37">
        <f>AW447+AX447</f>
        <v>0</v>
      </c>
      <c r="AW447" s="37">
        <f>H447*AO447</f>
        <v>0</v>
      </c>
      <c r="AX447" s="37">
        <f>H447*AP447</f>
        <v>0</v>
      </c>
      <c r="AY447" s="40" t="s">
        <v>1247</v>
      </c>
      <c r="AZ447" s="40" t="s">
        <v>1260</v>
      </c>
      <c r="BA447" s="35" t="s">
        <v>1262</v>
      </c>
      <c r="BC447" s="37">
        <f>AW447+AX447</f>
        <v>0</v>
      </c>
      <c r="BD447" s="37">
        <f>I447/(100-BE447)*100</f>
        <v>0</v>
      </c>
      <c r="BE447" s="37">
        <v>0</v>
      </c>
      <c r="BF447" s="37">
        <f>N447</f>
        <v>9387</v>
      </c>
      <c r="BH447" s="24">
        <f>H447*AO447</f>
        <v>0</v>
      </c>
      <c r="BI447" s="24">
        <f>H447*AP447</f>
        <v>0</v>
      </c>
      <c r="BJ447" s="24">
        <f>H447*I447</f>
        <v>0</v>
      </c>
      <c r="BK447" s="24" t="s">
        <v>1267</v>
      </c>
      <c r="BL447" s="37" t="s">
        <v>667</v>
      </c>
    </row>
    <row r="448" spans="1:64" x14ac:dyDescent="0.25">
      <c r="A448" s="5"/>
      <c r="C448" s="18" t="s">
        <v>27</v>
      </c>
      <c r="F448" s="20" t="s">
        <v>1158</v>
      </c>
      <c r="H448" s="25">
        <v>21</v>
      </c>
      <c r="N448" s="36"/>
      <c r="O448" s="5"/>
    </row>
    <row r="449" spans="1:64" x14ac:dyDescent="0.25">
      <c r="A449" s="4" t="s">
        <v>328</v>
      </c>
      <c r="B449" s="14" t="s">
        <v>675</v>
      </c>
      <c r="C449" s="130" t="s">
        <v>1098</v>
      </c>
      <c r="D449" s="131"/>
      <c r="E449" s="131"/>
      <c r="F449" s="131"/>
      <c r="G449" s="14" t="s">
        <v>1165</v>
      </c>
      <c r="H449" s="24">
        <v>30</v>
      </c>
      <c r="I449" s="24">
        <v>0</v>
      </c>
      <c r="J449" s="24">
        <f>H449*AO449</f>
        <v>0</v>
      </c>
      <c r="K449" s="24">
        <f>H449*AP449</f>
        <v>0</v>
      </c>
      <c r="L449" s="24">
        <f>H449*I449</f>
        <v>0</v>
      </c>
      <c r="M449" s="24">
        <v>6.0000000000000002E-5</v>
      </c>
      <c r="N449" s="46">
        <f>H449*449</f>
        <v>13470</v>
      </c>
      <c r="O449" s="5"/>
      <c r="Z449" s="37">
        <f>IF(AQ449="5",BJ449,0)</f>
        <v>0</v>
      </c>
      <c r="AB449" s="37">
        <f>IF(AQ449="1",BH449,0)</f>
        <v>0</v>
      </c>
      <c r="AC449" s="37">
        <f>IF(AQ449="1",BI449,0)</f>
        <v>0</v>
      </c>
      <c r="AD449" s="37">
        <f>IF(AQ449="7",BH449,0)</f>
        <v>0</v>
      </c>
      <c r="AE449" s="37">
        <f>IF(AQ449="7",BI449,0)</f>
        <v>0</v>
      </c>
      <c r="AF449" s="37">
        <f>IF(AQ449="2",BH449,0)</f>
        <v>0</v>
      </c>
      <c r="AG449" s="37">
        <f>IF(AQ449="2",BI449,0)</f>
        <v>0</v>
      </c>
      <c r="AH449" s="37">
        <f>IF(AQ449="0",BJ449,0)</f>
        <v>0</v>
      </c>
      <c r="AI449" s="35"/>
      <c r="AJ449" s="24">
        <f>IF(AN449=0,L449,0)</f>
        <v>0</v>
      </c>
      <c r="AK449" s="24">
        <f>IF(AN449=15,L449,0)</f>
        <v>0</v>
      </c>
      <c r="AL449" s="24">
        <f>IF(AN449=21,L449,0)</f>
        <v>0</v>
      </c>
      <c r="AN449" s="37">
        <v>21</v>
      </c>
      <c r="AO449" s="37">
        <f>I449*0.481927710843373</f>
        <v>0</v>
      </c>
      <c r="AP449" s="37">
        <f>I449*(1-0.481927710843373)</f>
        <v>0</v>
      </c>
      <c r="AQ449" s="38" t="s">
        <v>8</v>
      </c>
      <c r="AV449" s="37">
        <f>AW449+AX449</f>
        <v>0</v>
      </c>
      <c r="AW449" s="37">
        <f>H449*AO449</f>
        <v>0</v>
      </c>
      <c r="AX449" s="37">
        <f>H449*AP449</f>
        <v>0</v>
      </c>
      <c r="AY449" s="40" t="s">
        <v>1247</v>
      </c>
      <c r="AZ449" s="40" t="s">
        <v>1260</v>
      </c>
      <c r="BA449" s="35" t="s">
        <v>1262</v>
      </c>
      <c r="BC449" s="37">
        <f>AW449+AX449</f>
        <v>0</v>
      </c>
      <c r="BD449" s="37">
        <f>I449/(100-BE449)*100</f>
        <v>0</v>
      </c>
      <c r="BE449" s="37">
        <v>0</v>
      </c>
      <c r="BF449" s="37">
        <f>N449</f>
        <v>13470</v>
      </c>
      <c r="BH449" s="24">
        <f>H449*AO449</f>
        <v>0</v>
      </c>
      <c r="BI449" s="24">
        <f>H449*AP449</f>
        <v>0</v>
      </c>
      <c r="BJ449" s="24">
        <f>H449*I449</f>
        <v>0</v>
      </c>
      <c r="BK449" s="24" t="s">
        <v>1267</v>
      </c>
      <c r="BL449" s="37" t="s">
        <v>667</v>
      </c>
    </row>
    <row r="450" spans="1:64" x14ac:dyDescent="0.25">
      <c r="A450" s="4" t="s">
        <v>329</v>
      </c>
      <c r="B450" s="14" t="s">
        <v>676</v>
      </c>
      <c r="C450" s="130" t="s">
        <v>1099</v>
      </c>
      <c r="D450" s="131"/>
      <c r="E450" s="131"/>
      <c r="F450" s="131"/>
      <c r="G450" s="14" t="s">
        <v>1170</v>
      </c>
      <c r="H450" s="24">
        <v>1</v>
      </c>
      <c r="I450" s="24">
        <v>0</v>
      </c>
      <c r="J450" s="24">
        <f>H450*AO450</f>
        <v>0</v>
      </c>
      <c r="K450" s="24">
        <f>H450*AP450</f>
        <v>0</v>
      </c>
      <c r="L450" s="24">
        <f>H450*I450</f>
        <v>0</v>
      </c>
      <c r="M450" s="24">
        <v>0</v>
      </c>
      <c r="N450" s="46">
        <f>H450*450</f>
        <v>450</v>
      </c>
      <c r="O450" s="5"/>
      <c r="Z450" s="37">
        <f>IF(AQ450="5",BJ450,0)</f>
        <v>0</v>
      </c>
      <c r="AB450" s="37">
        <f>IF(AQ450="1",BH450,0)</f>
        <v>0</v>
      </c>
      <c r="AC450" s="37">
        <f>IF(AQ450="1",BI450,0)</f>
        <v>0</v>
      </c>
      <c r="AD450" s="37">
        <f>IF(AQ450="7",BH450,0)</f>
        <v>0</v>
      </c>
      <c r="AE450" s="37">
        <f>IF(AQ450="7",BI450,0)</f>
        <v>0</v>
      </c>
      <c r="AF450" s="37">
        <f>IF(AQ450="2",BH450,0)</f>
        <v>0</v>
      </c>
      <c r="AG450" s="37">
        <f>IF(AQ450="2",BI450,0)</f>
        <v>0</v>
      </c>
      <c r="AH450" s="37">
        <f>IF(AQ450="0",BJ450,0)</f>
        <v>0</v>
      </c>
      <c r="AI450" s="35"/>
      <c r="AJ450" s="24">
        <f>IF(AN450=0,L450,0)</f>
        <v>0</v>
      </c>
      <c r="AK450" s="24">
        <f>IF(AN450=15,L450,0)</f>
        <v>0</v>
      </c>
      <c r="AL450" s="24">
        <f>IF(AN450=21,L450,0)</f>
        <v>0</v>
      </c>
      <c r="AN450" s="37">
        <v>21</v>
      </c>
      <c r="AO450" s="37">
        <f>I450*0</f>
        <v>0</v>
      </c>
      <c r="AP450" s="37">
        <f>I450*(1-0)</f>
        <v>0</v>
      </c>
      <c r="AQ450" s="38" t="s">
        <v>8</v>
      </c>
      <c r="AV450" s="37">
        <f>AW450+AX450</f>
        <v>0</v>
      </c>
      <c r="AW450" s="37">
        <f>H450*AO450</f>
        <v>0</v>
      </c>
      <c r="AX450" s="37">
        <f>H450*AP450</f>
        <v>0</v>
      </c>
      <c r="AY450" s="40" t="s">
        <v>1247</v>
      </c>
      <c r="AZ450" s="40" t="s">
        <v>1260</v>
      </c>
      <c r="BA450" s="35" t="s">
        <v>1262</v>
      </c>
      <c r="BC450" s="37">
        <f>AW450+AX450</f>
        <v>0</v>
      </c>
      <c r="BD450" s="37">
        <f>I450/(100-BE450)*100</f>
        <v>0</v>
      </c>
      <c r="BE450" s="37">
        <v>0</v>
      </c>
      <c r="BF450" s="37">
        <f>N450</f>
        <v>450</v>
      </c>
      <c r="BH450" s="24">
        <f>H450*AO450</f>
        <v>0</v>
      </c>
      <c r="BI450" s="24">
        <f>H450*AP450</f>
        <v>0</v>
      </c>
      <c r="BJ450" s="24">
        <f>H450*I450</f>
        <v>0</v>
      </c>
      <c r="BK450" s="24" t="s">
        <v>1267</v>
      </c>
      <c r="BL450" s="37" t="s">
        <v>667</v>
      </c>
    </row>
    <row r="451" spans="1:64" x14ac:dyDescent="0.25">
      <c r="A451" s="7" t="s">
        <v>330</v>
      </c>
      <c r="B451" s="16" t="s">
        <v>677</v>
      </c>
      <c r="C451" s="134" t="s">
        <v>1100</v>
      </c>
      <c r="D451" s="135"/>
      <c r="E451" s="135"/>
      <c r="F451" s="135"/>
      <c r="G451" s="16" t="s">
        <v>1170</v>
      </c>
      <c r="H451" s="26">
        <v>1</v>
      </c>
      <c r="I451" s="26">
        <v>0</v>
      </c>
      <c r="J451" s="26">
        <f>H451*AO451</f>
        <v>0</v>
      </c>
      <c r="K451" s="26">
        <f>H451*AP451</f>
        <v>0</v>
      </c>
      <c r="L451" s="26">
        <f>H451*I451</f>
        <v>0</v>
      </c>
      <c r="M451" s="26">
        <v>1.4E-2</v>
      </c>
      <c r="N451" s="48">
        <f>H451*451</f>
        <v>451</v>
      </c>
      <c r="O451" s="5"/>
      <c r="Z451" s="37">
        <f>IF(AQ451="5",BJ451,0)</f>
        <v>0</v>
      </c>
      <c r="AB451" s="37">
        <f>IF(AQ451="1",BH451,0)</f>
        <v>0</v>
      </c>
      <c r="AC451" s="37">
        <f>IF(AQ451="1",BI451,0)</f>
        <v>0</v>
      </c>
      <c r="AD451" s="37">
        <f>IF(AQ451="7",BH451,0)</f>
        <v>0</v>
      </c>
      <c r="AE451" s="37">
        <f>IF(AQ451="7",BI451,0)</f>
        <v>0</v>
      </c>
      <c r="AF451" s="37">
        <f>IF(AQ451="2",BH451,0)</f>
        <v>0</v>
      </c>
      <c r="AG451" s="37">
        <f>IF(AQ451="2",BI451,0)</f>
        <v>0</v>
      </c>
      <c r="AH451" s="37">
        <f>IF(AQ451="0",BJ451,0)</f>
        <v>0</v>
      </c>
      <c r="AI451" s="35"/>
      <c r="AJ451" s="26">
        <f>IF(AN451=0,L451,0)</f>
        <v>0</v>
      </c>
      <c r="AK451" s="26">
        <f>IF(AN451=15,L451,0)</f>
        <v>0</v>
      </c>
      <c r="AL451" s="26">
        <f>IF(AN451=21,L451,0)</f>
        <v>0</v>
      </c>
      <c r="AN451" s="37">
        <v>21</v>
      </c>
      <c r="AO451" s="37">
        <f>I451*1</f>
        <v>0</v>
      </c>
      <c r="AP451" s="37">
        <f>I451*(1-1)</f>
        <v>0</v>
      </c>
      <c r="AQ451" s="39" t="s">
        <v>7</v>
      </c>
      <c r="AV451" s="37">
        <f>AW451+AX451</f>
        <v>0</v>
      </c>
      <c r="AW451" s="37">
        <f>H451*AO451</f>
        <v>0</v>
      </c>
      <c r="AX451" s="37">
        <f>H451*AP451</f>
        <v>0</v>
      </c>
      <c r="AY451" s="40" t="s">
        <v>1247</v>
      </c>
      <c r="AZ451" s="40" t="s">
        <v>1260</v>
      </c>
      <c r="BA451" s="35" t="s">
        <v>1262</v>
      </c>
      <c r="BC451" s="37">
        <f>AW451+AX451</f>
        <v>0</v>
      </c>
      <c r="BD451" s="37">
        <f>I451/(100-BE451)*100</f>
        <v>0</v>
      </c>
      <c r="BE451" s="37">
        <v>0</v>
      </c>
      <c r="BF451" s="37">
        <f>N451</f>
        <v>451</v>
      </c>
      <c r="BH451" s="26">
        <f>H451*AO451</f>
        <v>0</v>
      </c>
      <c r="BI451" s="26">
        <f>H451*AP451</f>
        <v>0</v>
      </c>
      <c r="BJ451" s="26">
        <f>H451*I451</f>
        <v>0</v>
      </c>
      <c r="BK451" s="26" t="s">
        <v>1268</v>
      </c>
      <c r="BL451" s="37" t="s">
        <v>667</v>
      </c>
    </row>
    <row r="452" spans="1:64" x14ac:dyDescent="0.25">
      <c r="A452" s="7" t="s">
        <v>331</v>
      </c>
      <c r="B452" s="16" t="s">
        <v>678</v>
      </c>
      <c r="C452" s="134" t="s">
        <v>1101</v>
      </c>
      <c r="D452" s="135"/>
      <c r="E452" s="135"/>
      <c r="F452" s="135"/>
      <c r="G452" s="16" t="s">
        <v>1170</v>
      </c>
      <c r="H452" s="26">
        <v>1</v>
      </c>
      <c r="I452" s="26">
        <v>0</v>
      </c>
      <c r="J452" s="26">
        <f>H452*AO452</f>
        <v>0</v>
      </c>
      <c r="K452" s="26">
        <f>H452*AP452</f>
        <v>0</v>
      </c>
      <c r="L452" s="26">
        <f>H452*I452</f>
        <v>0</v>
      </c>
      <c r="M452" s="26">
        <v>0.01</v>
      </c>
      <c r="N452" s="48">
        <f>H452*452</f>
        <v>452</v>
      </c>
      <c r="O452" s="5"/>
      <c r="Z452" s="37">
        <f>IF(AQ452="5",BJ452,0)</f>
        <v>0</v>
      </c>
      <c r="AB452" s="37">
        <f>IF(AQ452="1",BH452,0)</f>
        <v>0</v>
      </c>
      <c r="AC452" s="37">
        <f>IF(AQ452="1",BI452,0)</f>
        <v>0</v>
      </c>
      <c r="AD452" s="37">
        <f>IF(AQ452="7",BH452,0)</f>
        <v>0</v>
      </c>
      <c r="AE452" s="37">
        <f>IF(AQ452="7",BI452,0)</f>
        <v>0</v>
      </c>
      <c r="AF452" s="37">
        <f>IF(AQ452="2",BH452,0)</f>
        <v>0</v>
      </c>
      <c r="AG452" s="37">
        <f>IF(AQ452="2",BI452,0)</f>
        <v>0</v>
      </c>
      <c r="AH452" s="37">
        <f>IF(AQ452="0",BJ452,0)</f>
        <v>0</v>
      </c>
      <c r="AI452" s="35"/>
      <c r="AJ452" s="26">
        <f>IF(AN452=0,L452,0)</f>
        <v>0</v>
      </c>
      <c r="AK452" s="26">
        <f>IF(AN452=15,L452,0)</f>
        <v>0</v>
      </c>
      <c r="AL452" s="26">
        <f>IF(AN452=21,L452,0)</f>
        <v>0</v>
      </c>
      <c r="AN452" s="37">
        <v>21</v>
      </c>
      <c r="AO452" s="37">
        <f>I452*1</f>
        <v>0</v>
      </c>
      <c r="AP452" s="37">
        <f>I452*(1-1)</f>
        <v>0</v>
      </c>
      <c r="AQ452" s="39" t="s">
        <v>7</v>
      </c>
      <c r="AV452" s="37">
        <f>AW452+AX452</f>
        <v>0</v>
      </c>
      <c r="AW452" s="37">
        <f>H452*AO452</f>
        <v>0</v>
      </c>
      <c r="AX452" s="37">
        <f>H452*AP452</f>
        <v>0</v>
      </c>
      <c r="AY452" s="40" t="s">
        <v>1247</v>
      </c>
      <c r="AZ452" s="40" t="s">
        <v>1260</v>
      </c>
      <c r="BA452" s="35" t="s">
        <v>1262</v>
      </c>
      <c r="BC452" s="37">
        <f>AW452+AX452</f>
        <v>0</v>
      </c>
      <c r="BD452" s="37">
        <f>I452/(100-BE452)*100</f>
        <v>0</v>
      </c>
      <c r="BE452" s="37">
        <v>0</v>
      </c>
      <c r="BF452" s="37">
        <f>N452</f>
        <v>452</v>
      </c>
      <c r="BH452" s="26">
        <f>H452*AO452</f>
        <v>0</v>
      </c>
      <c r="BI452" s="26">
        <f>H452*AP452</f>
        <v>0</v>
      </c>
      <c r="BJ452" s="26">
        <f>H452*I452</f>
        <v>0</v>
      </c>
      <c r="BK452" s="26" t="s">
        <v>1268</v>
      </c>
      <c r="BL452" s="37" t="s">
        <v>667</v>
      </c>
    </row>
    <row r="453" spans="1:64" x14ac:dyDescent="0.25">
      <c r="A453" s="4" t="s">
        <v>332</v>
      </c>
      <c r="B453" s="14" t="s">
        <v>679</v>
      </c>
      <c r="C453" s="130" t="s">
        <v>1102</v>
      </c>
      <c r="D453" s="131"/>
      <c r="E453" s="131"/>
      <c r="F453" s="131"/>
      <c r="G453" s="14" t="s">
        <v>1169</v>
      </c>
      <c r="H453" s="24">
        <v>50</v>
      </c>
      <c r="I453" s="24">
        <v>0</v>
      </c>
      <c r="J453" s="24">
        <f>H453*AO453</f>
        <v>0</v>
      </c>
      <c r="K453" s="24">
        <f>H453*AP453</f>
        <v>0</v>
      </c>
      <c r="L453" s="24">
        <f>H453*I453</f>
        <v>0</v>
      </c>
      <c r="M453" s="24">
        <v>2.0000000000000002E-5</v>
      </c>
      <c r="N453" s="46">
        <f>H453*453</f>
        <v>22650</v>
      </c>
      <c r="O453" s="5"/>
      <c r="Z453" s="37">
        <f>IF(AQ453="5",BJ453,0)</f>
        <v>0</v>
      </c>
      <c r="AB453" s="37">
        <f>IF(AQ453="1",BH453,0)</f>
        <v>0</v>
      </c>
      <c r="AC453" s="37">
        <f>IF(AQ453="1",BI453,0)</f>
        <v>0</v>
      </c>
      <c r="AD453" s="37">
        <f>IF(AQ453="7",BH453,0)</f>
        <v>0</v>
      </c>
      <c r="AE453" s="37">
        <f>IF(AQ453="7",BI453,0)</f>
        <v>0</v>
      </c>
      <c r="AF453" s="37">
        <f>IF(AQ453="2",BH453,0)</f>
        <v>0</v>
      </c>
      <c r="AG453" s="37">
        <f>IF(AQ453="2",BI453,0)</f>
        <v>0</v>
      </c>
      <c r="AH453" s="37">
        <f>IF(AQ453="0",BJ453,0)</f>
        <v>0</v>
      </c>
      <c r="AI453" s="35"/>
      <c r="AJ453" s="24">
        <f>IF(AN453=0,L453,0)</f>
        <v>0</v>
      </c>
      <c r="AK453" s="24">
        <f>IF(AN453=15,L453,0)</f>
        <v>0</v>
      </c>
      <c r="AL453" s="24">
        <f>IF(AN453=21,L453,0)</f>
        <v>0</v>
      </c>
      <c r="AN453" s="37">
        <v>21</v>
      </c>
      <c r="AO453" s="37">
        <f>I453*0.104079933388843</f>
        <v>0</v>
      </c>
      <c r="AP453" s="37">
        <f>I453*(1-0.104079933388843)</f>
        <v>0</v>
      </c>
      <c r="AQ453" s="38" t="s">
        <v>8</v>
      </c>
      <c r="AV453" s="37">
        <f>AW453+AX453</f>
        <v>0</v>
      </c>
      <c r="AW453" s="37">
        <f>H453*AO453</f>
        <v>0</v>
      </c>
      <c r="AX453" s="37">
        <f>H453*AP453</f>
        <v>0</v>
      </c>
      <c r="AY453" s="40" t="s">
        <v>1247</v>
      </c>
      <c r="AZ453" s="40" t="s">
        <v>1260</v>
      </c>
      <c r="BA453" s="35" t="s">
        <v>1262</v>
      </c>
      <c r="BC453" s="37">
        <f>AW453+AX453</f>
        <v>0</v>
      </c>
      <c r="BD453" s="37">
        <f>I453/(100-BE453)*100</f>
        <v>0</v>
      </c>
      <c r="BE453" s="37">
        <v>0</v>
      </c>
      <c r="BF453" s="37">
        <f>N453</f>
        <v>22650</v>
      </c>
      <c r="BH453" s="24">
        <f>H453*AO453</f>
        <v>0</v>
      </c>
      <c r="BI453" s="24">
        <f>H453*AP453</f>
        <v>0</v>
      </c>
      <c r="BJ453" s="24">
        <f>H453*I453</f>
        <v>0</v>
      </c>
      <c r="BK453" s="24" t="s">
        <v>1267</v>
      </c>
      <c r="BL453" s="37" t="s">
        <v>667</v>
      </c>
    </row>
    <row r="454" spans="1:64" x14ac:dyDescent="0.25">
      <c r="A454" s="6"/>
      <c r="B454" s="15" t="s">
        <v>680</v>
      </c>
      <c r="C454" s="132" t="s">
        <v>1103</v>
      </c>
      <c r="D454" s="133"/>
      <c r="E454" s="133"/>
      <c r="F454" s="133"/>
      <c r="G454" s="22" t="s">
        <v>6</v>
      </c>
      <c r="H454" s="22" t="s">
        <v>6</v>
      </c>
      <c r="I454" s="22" t="s">
        <v>6</v>
      </c>
      <c r="J454" s="43">
        <f>SUM(J455:J461)</f>
        <v>0</v>
      </c>
      <c r="K454" s="43">
        <f>SUM(K455:K461)</f>
        <v>0</v>
      </c>
      <c r="L454" s="43">
        <f>SUM(L455:L461)</f>
        <v>0</v>
      </c>
      <c r="M454" s="35"/>
      <c r="N454" s="47">
        <f>SUM(N455:N461)</f>
        <v>3662</v>
      </c>
      <c r="O454" s="5"/>
      <c r="AI454" s="35"/>
      <c r="AS454" s="43">
        <f>SUM(AJ455:AJ461)</f>
        <v>0</v>
      </c>
      <c r="AT454" s="43">
        <f>SUM(AK455:AK461)</f>
        <v>0</v>
      </c>
      <c r="AU454" s="43">
        <f>SUM(AL455:AL461)</f>
        <v>0</v>
      </c>
    </row>
    <row r="455" spans="1:64" x14ac:dyDescent="0.25">
      <c r="A455" s="4" t="s">
        <v>333</v>
      </c>
      <c r="B455" s="14" t="s">
        <v>681</v>
      </c>
      <c r="C455" s="130" t="s">
        <v>1104</v>
      </c>
      <c r="D455" s="131"/>
      <c r="E455" s="131"/>
      <c r="F455" s="131"/>
      <c r="G455" s="14" t="s">
        <v>1171</v>
      </c>
      <c r="H455" s="24">
        <v>1</v>
      </c>
      <c r="I455" s="24">
        <v>0</v>
      </c>
      <c r="J455" s="24">
        <f t="shared" ref="J455:J461" si="397">H455*AO455</f>
        <v>0</v>
      </c>
      <c r="K455" s="24">
        <f t="shared" ref="K455:K461" si="398">H455*AP455</f>
        <v>0</v>
      </c>
      <c r="L455" s="24">
        <f t="shared" ref="L455:L461" si="399">H455*I455</f>
        <v>0</v>
      </c>
      <c r="M455" s="24">
        <v>0</v>
      </c>
      <c r="N455" s="46">
        <f>H455*455</f>
        <v>455</v>
      </c>
      <c r="O455" s="5"/>
      <c r="Z455" s="37">
        <f t="shared" ref="Z455:Z461" si="400">IF(AQ455="5",BJ455,0)</f>
        <v>0</v>
      </c>
      <c r="AB455" s="37">
        <f t="shared" ref="AB455:AB461" si="401">IF(AQ455="1",BH455,0)</f>
        <v>0</v>
      </c>
      <c r="AC455" s="37">
        <f t="shared" ref="AC455:AC461" si="402">IF(AQ455="1",BI455,0)</f>
        <v>0</v>
      </c>
      <c r="AD455" s="37">
        <f t="shared" ref="AD455:AD461" si="403">IF(AQ455="7",BH455,0)</f>
        <v>0</v>
      </c>
      <c r="AE455" s="37">
        <f t="shared" ref="AE455:AE461" si="404">IF(AQ455="7",BI455,0)</f>
        <v>0</v>
      </c>
      <c r="AF455" s="37">
        <f t="shared" ref="AF455:AF461" si="405">IF(AQ455="2",BH455,0)</f>
        <v>0</v>
      </c>
      <c r="AG455" s="37">
        <f t="shared" ref="AG455:AG461" si="406">IF(AQ455="2",BI455,0)</f>
        <v>0</v>
      </c>
      <c r="AH455" s="37">
        <f t="shared" ref="AH455:AH461" si="407">IF(AQ455="0",BJ455,0)</f>
        <v>0</v>
      </c>
      <c r="AI455" s="35"/>
      <c r="AJ455" s="24">
        <f t="shared" ref="AJ455:AJ461" si="408">IF(AN455=0,L455,0)</f>
        <v>0</v>
      </c>
      <c r="AK455" s="24">
        <f t="shared" ref="AK455:AK461" si="409">IF(AN455=15,L455,0)</f>
        <v>0</v>
      </c>
      <c r="AL455" s="24">
        <f t="shared" ref="AL455:AL461" si="410">IF(AN455=21,L455,0)</f>
        <v>0</v>
      </c>
      <c r="AN455" s="37">
        <v>21</v>
      </c>
      <c r="AO455" s="37">
        <f t="shared" ref="AO455:AO461" si="411">I455*0</f>
        <v>0</v>
      </c>
      <c r="AP455" s="37">
        <f t="shared" ref="AP455:AP461" si="412">I455*(1-0)</f>
        <v>0</v>
      </c>
      <c r="AQ455" s="38" t="s">
        <v>8</v>
      </c>
      <c r="AV455" s="37">
        <f t="shared" ref="AV455:AV461" si="413">AW455+AX455</f>
        <v>0</v>
      </c>
      <c r="AW455" s="37">
        <f t="shared" ref="AW455:AW461" si="414">H455*AO455</f>
        <v>0</v>
      </c>
      <c r="AX455" s="37">
        <f t="shared" ref="AX455:AX461" si="415">H455*AP455</f>
        <v>0</v>
      </c>
      <c r="AY455" s="40" t="s">
        <v>1248</v>
      </c>
      <c r="AZ455" s="40" t="s">
        <v>1260</v>
      </c>
      <c r="BA455" s="35" t="s">
        <v>1262</v>
      </c>
      <c r="BC455" s="37">
        <f t="shared" ref="BC455:BC461" si="416">AW455+AX455</f>
        <v>0</v>
      </c>
      <c r="BD455" s="37">
        <f t="shared" ref="BD455:BD461" si="417">I455/(100-BE455)*100</f>
        <v>0</v>
      </c>
      <c r="BE455" s="37">
        <v>0</v>
      </c>
      <c r="BF455" s="37">
        <f t="shared" ref="BF455:BF461" si="418">N455</f>
        <v>455</v>
      </c>
      <c r="BH455" s="24">
        <f t="shared" ref="BH455:BH461" si="419">H455*AO455</f>
        <v>0</v>
      </c>
      <c r="BI455" s="24">
        <f t="shared" ref="BI455:BI461" si="420">H455*AP455</f>
        <v>0</v>
      </c>
      <c r="BJ455" s="24">
        <f t="shared" ref="BJ455:BJ461" si="421">H455*I455</f>
        <v>0</v>
      </c>
      <c r="BK455" s="24" t="s">
        <v>1267</v>
      </c>
      <c r="BL455" s="37" t="s">
        <v>680</v>
      </c>
    </row>
    <row r="456" spans="1:64" x14ac:dyDescent="0.25">
      <c r="A456" s="4" t="s">
        <v>334</v>
      </c>
      <c r="B456" s="14" t="s">
        <v>682</v>
      </c>
      <c r="C456" s="130" t="s">
        <v>1105</v>
      </c>
      <c r="D456" s="131"/>
      <c r="E456" s="131"/>
      <c r="F456" s="131"/>
      <c r="G456" s="14" t="s">
        <v>1171</v>
      </c>
      <c r="H456" s="24">
        <v>2</v>
      </c>
      <c r="I456" s="24">
        <v>0</v>
      </c>
      <c r="J456" s="24">
        <f t="shared" si="397"/>
        <v>0</v>
      </c>
      <c r="K456" s="24">
        <f t="shared" si="398"/>
        <v>0</v>
      </c>
      <c r="L456" s="24">
        <f t="shared" si="399"/>
        <v>0</v>
      </c>
      <c r="M456" s="24">
        <v>0</v>
      </c>
      <c r="N456" s="46">
        <f>H456*456</f>
        <v>912</v>
      </c>
      <c r="O456" s="5"/>
      <c r="Z456" s="37">
        <f t="shared" si="400"/>
        <v>0</v>
      </c>
      <c r="AB456" s="37">
        <f t="shared" si="401"/>
        <v>0</v>
      </c>
      <c r="AC456" s="37">
        <f t="shared" si="402"/>
        <v>0</v>
      </c>
      <c r="AD456" s="37">
        <f t="shared" si="403"/>
        <v>0</v>
      </c>
      <c r="AE456" s="37">
        <f t="shared" si="404"/>
        <v>0</v>
      </c>
      <c r="AF456" s="37">
        <f t="shared" si="405"/>
        <v>0</v>
      </c>
      <c r="AG456" s="37">
        <f t="shared" si="406"/>
        <v>0</v>
      </c>
      <c r="AH456" s="37">
        <f t="shared" si="407"/>
        <v>0</v>
      </c>
      <c r="AI456" s="35"/>
      <c r="AJ456" s="24">
        <f t="shared" si="408"/>
        <v>0</v>
      </c>
      <c r="AK456" s="24">
        <f t="shared" si="409"/>
        <v>0</v>
      </c>
      <c r="AL456" s="24">
        <f t="shared" si="410"/>
        <v>0</v>
      </c>
      <c r="AN456" s="37">
        <v>21</v>
      </c>
      <c r="AO456" s="37">
        <f t="shared" si="411"/>
        <v>0</v>
      </c>
      <c r="AP456" s="37">
        <f t="shared" si="412"/>
        <v>0</v>
      </c>
      <c r="AQ456" s="38" t="s">
        <v>8</v>
      </c>
      <c r="AV456" s="37">
        <f t="shared" si="413"/>
        <v>0</v>
      </c>
      <c r="AW456" s="37">
        <f t="shared" si="414"/>
        <v>0</v>
      </c>
      <c r="AX456" s="37">
        <f t="shared" si="415"/>
        <v>0</v>
      </c>
      <c r="AY456" s="40" t="s">
        <v>1248</v>
      </c>
      <c r="AZ456" s="40" t="s">
        <v>1260</v>
      </c>
      <c r="BA456" s="35" t="s">
        <v>1262</v>
      </c>
      <c r="BC456" s="37">
        <f t="shared" si="416"/>
        <v>0</v>
      </c>
      <c r="BD456" s="37">
        <f t="shared" si="417"/>
        <v>0</v>
      </c>
      <c r="BE456" s="37">
        <v>0</v>
      </c>
      <c r="BF456" s="37">
        <f t="shared" si="418"/>
        <v>912</v>
      </c>
      <c r="BH456" s="24">
        <f t="shared" si="419"/>
        <v>0</v>
      </c>
      <c r="BI456" s="24">
        <f t="shared" si="420"/>
        <v>0</v>
      </c>
      <c r="BJ456" s="24">
        <f t="shared" si="421"/>
        <v>0</v>
      </c>
      <c r="BK456" s="24" t="s">
        <v>1267</v>
      </c>
      <c r="BL456" s="37" t="s">
        <v>680</v>
      </c>
    </row>
    <row r="457" spans="1:64" x14ac:dyDescent="0.25">
      <c r="A457" s="4" t="s">
        <v>335</v>
      </c>
      <c r="B457" s="14" t="s">
        <v>683</v>
      </c>
      <c r="C457" s="130" t="s">
        <v>1106</v>
      </c>
      <c r="D457" s="131"/>
      <c r="E457" s="131"/>
      <c r="F457" s="131"/>
      <c r="G457" s="14" t="s">
        <v>1171</v>
      </c>
      <c r="H457" s="24">
        <v>1</v>
      </c>
      <c r="I457" s="24">
        <v>0</v>
      </c>
      <c r="J457" s="24">
        <f t="shared" si="397"/>
        <v>0</v>
      </c>
      <c r="K457" s="24">
        <f t="shared" si="398"/>
        <v>0</v>
      </c>
      <c r="L457" s="24">
        <f t="shared" si="399"/>
        <v>0</v>
      </c>
      <c r="M457" s="24">
        <v>0</v>
      </c>
      <c r="N457" s="46">
        <f>H457*457</f>
        <v>457</v>
      </c>
      <c r="O457" s="5"/>
      <c r="Z457" s="37">
        <f t="shared" si="400"/>
        <v>0</v>
      </c>
      <c r="AB457" s="37">
        <f t="shared" si="401"/>
        <v>0</v>
      </c>
      <c r="AC457" s="37">
        <f t="shared" si="402"/>
        <v>0</v>
      </c>
      <c r="AD457" s="37">
        <f t="shared" si="403"/>
        <v>0</v>
      </c>
      <c r="AE457" s="37">
        <f t="shared" si="404"/>
        <v>0</v>
      </c>
      <c r="AF457" s="37">
        <f t="shared" si="405"/>
        <v>0</v>
      </c>
      <c r="AG457" s="37">
        <f t="shared" si="406"/>
        <v>0</v>
      </c>
      <c r="AH457" s="37">
        <f t="shared" si="407"/>
        <v>0</v>
      </c>
      <c r="AI457" s="35"/>
      <c r="AJ457" s="24">
        <f t="shared" si="408"/>
        <v>0</v>
      </c>
      <c r="AK457" s="24">
        <f t="shared" si="409"/>
        <v>0</v>
      </c>
      <c r="AL457" s="24">
        <f t="shared" si="410"/>
        <v>0</v>
      </c>
      <c r="AN457" s="37">
        <v>21</v>
      </c>
      <c r="AO457" s="37">
        <f t="shared" si="411"/>
        <v>0</v>
      </c>
      <c r="AP457" s="37">
        <f t="shared" si="412"/>
        <v>0</v>
      </c>
      <c r="AQ457" s="38" t="s">
        <v>8</v>
      </c>
      <c r="AV457" s="37">
        <f t="shared" si="413"/>
        <v>0</v>
      </c>
      <c r="AW457" s="37">
        <f t="shared" si="414"/>
        <v>0</v>
      </c>
      <c r="AX457" s="37">
        <f t="shared" si="415"/>
        <v>0</v>
      </c>
      <c r="AY457" s="40" t="s">
        <v>1248</v>
      </c>
      <c r="AZ457" s="40" t="s">
        <v>1260</v>
      </c>
      <c r="BA457" s="35" t="s">
        <v>1262</v>
      </c>
      <c r="BC457" s="37">
        <f t="shared" si="416"/>
        <v>0</v>
      </c>
      <c r="BD457" s="37">
        <f t="shared" si="417"/>
        <v>0</v>
      </c>
      <c r="BE457" s="37">
        <v>0</v>
      </c>
      <c r="BF457" s="37">
        <f t="shared" si="418"/>
        <v>457</v>
      </c>
      <c r="BH457" s="24">
        <f t="shared" si="419"/>
        <v>0</v>
      </c>
      <c r="BI457" s="24">
        <f t="shared" si="420"/>
        <v>0</v>
      </c>
      <c r="BJ457" s="24">
        <f t="shared" si="421"/>
        <v>0</v>
      </c>
      <c r="BK457" s="24" t="s">
        <v>1267</v>
      </c>
      <c r="BL457" s="37" t="s">
        <v>680</v>
      </c>
    </row>
    <row r="458" spans="1:64" x14ac:dyDescent="0.25">
      <c r="A458" s="4" t="s">
        <v>336</v>
      </c>
      <c r="B458" s="14" t="s">
        <v>684</v>
      </c>
      <c r="C458" s="130" t="s">
        <v>1107</v>
      </c>
      <c r="D458" s="131"/>
      <c r="E458" s="131"/>
      <c r="F458" s="131"/>
      <c r="G458" s="14" t="s">
        <v>1171</v>
      </c>
      <c r="H458" s="24">
        <v>1</v>
      </c>
      <c r="I458" s="24">
        <v>0</v>
      </c>
      <c r="J458" s="24">
        <f t="shared" si="397"/>
        <v>0</v>
      </c>
      <c r="K458" s="24">
        <f t="shared" si="398"/>
        <v>0</v>
      </c>
      <c r="L458" s="24">
        <f t="shared" si="399"/>
        <v>0</v>
      </c>
      <c r="M458" s="24">
        <v>0</v>
      </c>
      <c r="N458" s="46">
        <f>H458*458</f>
        <v>458</v>
      </c>
      <c r="O458" s="5"/>
      <c r="Z458" s="37">
        <f t="shared" si="400"/>
        <v>0</v>
      </c>
      <c r="AB458" s="37">
        <f t="shared" si="401"/>
        <v>0</v>
      </c>
      <c r="AC458" s="37">
        <f t="shared" si="402"/>
        <v>0</v>
      </c>
      <c r="AD458" s="37">
        <f t="shared" si="403"/>
        <v>0</v>
      </c>
      <c r="AE458" s="37">
        <f t="shared" si="404"/>
        <v>0</v>
      </c>
      <c r="AF458" s="37">
        <f t="shared" si="405"/>
        <v>0</v>
      </c>
      <c r="AG458" s="37">
        <f t="shared" si="406"/>
        <v>0</v>
      </c>
      <c r="AH458" s="37">
        <f t="shared" si="407"/>
        <v>0</v>
      </c>
      <c r="AI458" s="35"/>
      <c r="AJ458" s="24">
        <f t="shared" si="408"/>
        <v>0</v>
      </c>
      <c r="AK458" s="24">
        <f t="shared" si="409"/>
        <v>0</v>
      </c>
      <c r="AL458" s="24">
        <f t="shared" si="410"/>
        <v>0</v>
      </c>
      <c r="AN458" s="37">
        <v>21</v>
      </c>
      <c r="AO458" s="37">
        <f t="shared" si="411"/>
        <v>0</v>
      </c>
      <c r="AP458" s="37">
        <f t="shared" si="412"/>
        <v>0</v>
      </c>
      <c r="AQ458" s="38" t="s">
        <v>8</v>
      </c>
      <c r="AV458" s="37">
        <f t="shared" si="413"/>
        <v>0</v>
      </c>
      <c r="AW458" s="37">
        <f t="shared" si="414"/>
        <v>0</v>
      </c>
      <c r="AX458" s="37">
        <f t="shared" si="415"/>
        <v>0</v>
      </c>
      <c r="AY458" s="40" t="s">
        <v>1248</v>
      </c>
      <c r="AZ458" s="40" t="s">
        <v>1260</v>
      </c>
      <c r="BA458" s="35" t="s">
        <v>1262</v>
      </c>
      <c r="BC458" s="37">
        <f t="shared" si="416"/>
        <v>0</v>
      </c>
      <c r="BD458" s="37">
        <f t="shared" si="417"/>
        <v>0</v>
      </c>
      <c r="BE458" s="37">
        <v>0</v>
      </c>
      <c r="BF458" s="37">
        <f t="shared" si="418"/>
        <v>458</v>
      </c>
      <c r="BH458" s="24">
        <f t="shared" si="419"/>
        <v>0</v>
      </c>
      <c r="BI458" s="24">
        <f t="shared" si="420"/>
        <v>0</v>
      </c>
      <c r="BJ458" s="24">
        <f t="shared" si="421"/>
        <v>0</v>
      </c>
      <c r="BK458" s="24" t="s">
        <v>1267</v>
      </c>
      <c r="BL458" s="37" t="s">
        <v>680</v>
      </c>
    </row>
    <row r="459" spans="1:64" x14ac:dyDescent="0.25">
      <c r="A459" s="4" t="s">
        <v>337</v>
      </c>
      <c r="B459" s="14" t="s">
        <v>685</v>
      </c>
      <c r="C459" s="130" t="s">
        <v>1108</v>
      </c>
      <c r="D459" s="131"/>
      <c r="E459" s="131"/>
      <c r="F459" s="131"/>
      <c r="G459" s="14" t="s">
        <v>1171</v>
      </c>
      <c r="H459" s="24">
        <v>1</v>
      </c>
      <c r="I459" s="24">
        <v>0</v>
      </c>
      <c r="J459" s="24">
        <f t="shared" si="397"/>
        <v>0</v>
      </c>
      <c r="K459" s="24">
        <f t="shared" si="398"/>
        <v>0</v>
      </c>
      <c r="L459" s="24">
        <f t="shared" si="399"/>
        <v>0</v>
      </c>
      <c r="M459" s="24">
        <v>0</v>
      </c>
      <c r="N459" s="46">
        <f>H459*459</f>
        <v>459</v>
      </c>
      <c r="O459" s="5"/>
      <c r="Z459" s="37">
        <f t="shared" si="400"/>
        <v>0</v>
      </c>
      <c r="AB459" s="37">
        <f t="shared" si="401"/>
        <v>0</v>
      </c>
      <c r="AC459" s="37">
        <f t="shared" si="402"/>
        <v>0</v>
      </c>
      <c r="AD459" s="37">
        <f t="shared" si="403"/>
        <v>0</v>
      </c>
      <c r="AE459" s="37">
        <f t="shared" si="404"/>
        <v>0</v>
      </c>
      <c r="AF459" s="37">
        <f t="shared" si="405"/>
        <v>0</v>
      </c>
      <c r="AG459" s="37">
        <f t="shared" si="406"/>
        <v>0</v>
      </c>
      <c r="AH459" s="37">
        <f t="shared" si="407"/>
        <v>0</v>
      </c>
      <c r="AI459" s="35"/>
      <c r="AJ459" s="24">
        <f t="shared" si="408"/>
        <v>0</v>
      </c>
      <c r="AK459" s="24">
        <f t="shared" si="409"/>
        <v>0</v>
      </c>
      <c r="AL459" s="24">
        <f t="shared" si="410"/>
        <v>0</v>
      </c>
      <c r="AN459" s="37">
        <v>21</v>
      </c>
      <c r="AO459" s="37">
        <f t="shared" si="411"/>
        <v>0</v>
      </c>
      <c r="AP459" s="37">
        <f t="shared" si="412"/>
        <v>0</v>
      </c>
      <c r="AQ459" s="38" t="s">
        <v>8</v>
      </c>
      <c r="AV459" s="37">
        <f t="shared" si="413"/>
        <v>0</v>
      </c>
      <c r="AW459" s="37">
        <f t="shared" si="414"/>
        <v>0</v>
      </c>
      <c r="AX459" s="37">
        <f t="shared" si="415"/>
        <v>0</v>
      </c>
      <c r="AY459" s="40" t="s">
        <v>1248</v>
      </c>
      <c r="AZ459" s="40" t="s">
        <v>1260</v>
      </c>
      <c r="BA459" s="35" t="s">
        <v>1262</v>
      </c>
      <c r="BC459" s="37">
        <f t="shared" si="416"/>
        <v>0</v>
      </c>
      <c r="BD459" s="37">
        <f t="shared" si="417"/>
        <v>0</v>
      </c>
      <c r="BE459" s="37">
        <v>0</v>
      </c>
      <c r="BF459" s="37">
        <f t="shared" si="418"/>
        <v>459</v>
      </c>
      <c r="BH459" s="24">
        <f t="shared" si="419"/>
        <v>0</v>
      </c>
      <c r="BI459" s="24">
        <f t="shared" si="420"/>
        <v>0</v>
      </c>
      <c r="BJ459" s="24">
        <f t="shared" si="421"/>
        <v>0</v>
      </c>
      <c r="BK459" s="24" t="s">
        <v>1267</v>
      </c>
      <c r="BL459" s="37" t="s">
        <v>680</v>
      </c>
    </row>
    <row r="460" spans="1:64" x14ac:dyDescent="0.25">
      <c r="A460" s="4" t="s">
        <v>338</v>
      </c>
      <c r="B460" s="14" t="s">
        <v>686</v>
      </c>
      <c r="C460" s="130" t="s">
        <v>1109</v>
      </c>
      <c r="D460" s="131"/>
      <c r="E460" s="131"/>
      <c r="F460" s="131"/>
      <c r="G460" s="14" t="s">
        <v>1171</v>
      </c>
      <c r="H460" s="24">
        <v>1</v>
      </c>
      <c r="I460" s="24">
        <v>0</v>
      </c>
      <c r="J460" s="24">
        <f t="shared" si="397"/>
        <v>0</v>
      </c>
      <c r="K460" s="24">
        <f t="shared" si="398"/>
        <v>0</v>
      </c>
      <c r="L460" s="24">
        <f t="shared" si="399"/>
        <v>0</v>
      </c>
      <c r="M460" s="24">
        <v>0</v>
      </c>
      <c r="N460" s="46">
        <f>H460*460</f>
        <v>460</v>
      </c>
      <c r="O460" s="5"/>
      <c r="Z460" s="37">
        <f t="shared" si="400"/>
        <v>0</v>
      </c>
      <c r="AB460" s="37">
        <f t="shared" si="401"/>
        <v>0</v>
      </c>
      <c r="AC460" s="37">
        <f t="shared" si="402"/>
        <v>0</v>
      </c>
      <c r="AD460" s="37">
        <f t="shared" si="403"/>
        <v>0</v>
      </c>
      <c r="AE460" s="37">
        <f t="shared" si="404"/>
        <v>0</v>
      </c>
      <c r="AF460" s="37">
        <f t="shared" si="405"/>
        <v>0</v>
      </c>
      <c r="AG460" s="37">
        <f t="shared" si="406"/>
        <v>0</v>
      </c>
      <c r="AH460" s="37">
        <f t="shared" si="407"/>
        <v>0</v>
      </c>
      <c r="AI460" s="35"/>
      <c r="AJ460" s="24">
        <f t="shared" si="408"/>
        <v>0</v>
      </c>
      <c r="AK460" s="24">
        <f t="shared" si="409"/>
        <v>0</v>
      </c>
      <c r="AL460" s="24">
        <f t="shared" si="410"/>
        <v>0</v>
      </c>
      <c r="AN460" s="37">
        <v>21</v>
      </c>
      <c r="AO460" s="37">
        <f t="shared" si="411"/>
        <v>0</v>
      </c>
      <c r="AP460" s="37">
        <f t="shared" si="412"/>
        <v>0</v>
      </c>
      <c r="AQ460" s="38" t="s">
        <v>8</v>
      </c>
      <c r="AV460" s="37">
        <f t="shared" si="413"/>
        <v>0</v>
      </c>
      <c r="AW460" s="37">
        <f t="shared" si="414"/>
        <v>0</v>
      </c>
      <c r="AX460" s="37">
        <f t="shared" si="415"/>
        <v>0</v>
      </c>
      <c r="AY460" s="40" t="s">
        <v>1248</v>
      </c>
      <c r="AZ460" s="40" t="s">
        <v>1260</v>
      </c>
      <c r="BA460" s="35" t="s">
        <v>1262</v>
      </c>
      <c r="BC460" s="37">
        <f t="shared" si="416"/>
        <v>0</v>
      </c>
      <c r="BD460" s="37">
        <f t="shared" si="417"/>
        <v>0</v>
      </c>
      <c r="BE460" s="37">
        <v>0</v>
      </c>
      <c r="BF460" s="37">
        <f t="shared" si="418"/>
        <v>460</v>
      </c>
      <c r="BH460" s="24">
        <f t="shared" si="419"/>
        <v>0</v>
      </c>
      <c r="BI460" s="24">
        <f t="shared" si="420"/>
        <v>0</v>
      </c>
      <c r="BJ460" s="24">
        <f t="shared" si="421"/>
        <v>0</v>
      </c>
      <c r="BK460" s="24" t="s">
        <v>1267</v>
      </c>
      <c r="BL460" s="37" t="s">
        <v>680</v>
      </c>
    </row>
    <row r="461" spans="1:64" x14ac:dyDescent="0.25">
      <c r="A461" s="4" t="s">
        <v>339</v>
      </c>
      <c r="B461" s="14" t="s">
        <v>687</v>
      </c>
      <c r="C461" s="130" t="s">
        <v>1110</v>
      </c>
      <c r="D461" s="131"/>
      <c r="E461" s="131"/>
      <c r="F461" s="131"/>
      <c r="G461" s="14" t="s">
        <v>1171</v>
      </c>
      <c r="H461" s="24">
        <v>1</v>
      </c>
      <c r="I461" s="24">
        <v>0</v>
      </c>
      <c r="J461" s="24">
        <f t="shared" si="397"/>
        <v>0</v>
      </c>
      <c r="K461" s="24">
        <f t="shared" si="398"/>
        <v>0</v>
      </c>
      <c r="L461" s="24">
        <f t="shared" si="399"/>
        <v>0</v>
      </c>
      <c r="M461" s="24">
        <v>0</v>
      </c>
      <c r="N461" s="46">
        <f>H461*461</f>
        <v>461</v>
      </c>
      <c r="O461" s="5"/>
      <c r="Z461" s="37">
        <f t="shared" si="400"/>
        <v>0</v>
      </c>
      <c r="AB461" s="37">
        <f t="shared" si="401"/>
        <v>0</v>
      </c>
      <c r="AC461" s="37">
        <f t="shared" si="402"/>
        <v>0</v>
      </c>
      <c r="AD461" s="37">
        <f t="shared" si="403"/>
        <v>0</v>
      </c>
      <c r="AE461" s="37">
        <f t="shared" si="404"/>
        <v>0</v>
      </c>
      <c r="AF461" s="37">
        <f t="shared" si="405"/>
        <v>0</v>
      </c>
      <c r="AG461" s="37">
        <f t="shared" si="406"/>
        <v>0</v>
      </c>
      <c r="AH461" s="37">
        <f t="shared" si="407"/>
        <v>0</v>
      </c>
      <c r="AI461" s="35"/>
      <c r="AJ461" s="24">
        <f t="shared" si="408"/>
        <v>0</v>
      </c>
      <c r="AK461" s="24">
        <f t="shared" si="409"/>
        <v>0</v>
      </c>
      <c r="AL461" s="24">
        <f t="shared" si="410"/>
        <v>0</v>
      </c>
      <c r="AN461" s="37">
        <v>21</v>
      </c>
      <c r="AO461" s="37">
        <f t="shared" si="411"/>
        <v>0</v>
      </c>
      <c r="AP461" s="37">
        <f t="shared" si="412"/>
        <v>0</v>
      </c>
      <c r="AQ461" s="38" t="s">
        <v>8</v>
      </c>
      <c r="AV461" s="37">
        <f t="shared" si="413"/>
        <v>0</v>
      </c>
      <c r="AW461" s="37">
        <f t="shared" si="414"/>
        <v>0</v>
      </c>
      <c r="AX461" s="37">
        <f t="shared" si="415"/>
        <v>0</v>
      </c>
      <c r="AY461" s="40" t="s">
        <v>1248</v>
      </c>
      <c r="AZ461" s="40" t="s">
        <v>1260</v>
      </c>
      <c r="BA461" s="35" t="s">
        <v>1262</v>
      </c>
      <c r="BC461" s="37">
        <f t="shared" si="416"/>
        <v>0</v>
      </c>
      <c r="BD461" s="37">
        <f t="shared" si="417"/>
        <v>0</v>
      </c>
      <c r="BE461" s="37">
        <v>0</v>
      </c>
      <c r="BF461" s="37">
        <f t="shared" si="418"/>
        <v>461</v>
      </c>
      <c r="BH461" s="24">
        <f t="shared" si="419"/>
        <v>0</v>
      </c>
      <c r="BI461" s="24">
        <f t="shared" si="420"/>
        <v>0</v>
      </c>
      <c r="BJ461" s="24">
        <f t="shared" si="421"/>
        <v>0</v>
      </c>
      <c r="BK461" s="24" t="s">
        <v>1267</v>
      </c>
      <c r="BL461" s="37" t="s">
        <v>680</v>
      </c>
    </row>
    <row r="462" spans="1:64" x14ac:dyDescent="0.25">
      <c r="A462" s="6"/>
      <c r="B462" s="15" t="s">
        <v>688</v>
      </c>
      <c r="C462" s="132" t="s">
        <v>1111</v>
      </c>
      <c r="D462" s="133"/>
      <c r="E462" s="133"/>
      <c r="F462" s="133"/>
      <c r="G462" s="22" t="s">
        <v>6</v>
      </c>
      <c r="H462" s="22" t="s">
        <v>6</v>
      </c>
      <c r="I462" s="22" t="s">
        <v>6</v>
      </c>
      <c r="J462" s="43">
        <f>SUM(J463:J464)</f>
        <v>0</v>
      </c>
      <c r="K462" s="43">
        <f>SUM(K463:K464)</f>
        <v>0</v>
      </c>
      <c r="L462" s="43">
        <f>SUM(L463:L464)</f>
        <v>0</v>
      </c>
      <c r="M462" s="35"/>
      <c r="N462" s="47">
        <f>SUM(N463:N464)</f>
        <v>5562</v>
      </c>
      <c r="O462" s="5"/>
      <c r="AI462" s="35"/>
      <c r="AS462" s="43">
        <f>SUM(AJ463:AJ464)</f>
        <v>0</v>
      </c>
      <c r="AT462" s="43">
        <f>SUM(AK463:AK464)</f>
        <v>0</v>
      </c>
      <c r="AU462" s="43">
        <f>SUM(AL463:AL464)</f>
        <v>0</v>
      </c>
    </row>
    <row r="463" spans="1:64" x14ac:dyDescent="0.25">
      <c r="A463" s="4" t="s">
        <v>340</v>
      </c>
      <c r="B463" s="14" t="s">
        <v>689</v>
      </c>
      <c r="C463" s="130" t="s">
        <v>1112</v>
      </c>
      <c r="D463" s="131"/>
      <c r="E463" s="131"/>
      <c r="F463" s="131"/>
      <c r="G463" s="14" t="s">
        <v>1168</v>
      </c>
      <c r="H463" s="24">
        <v>6</v>
      </c>
      <c r="I463" s="24">
        <v>0</v>
      </c>
      <c r="J463" s="24">
        <f>H463*AO463</f>
        <v>0</v>
      </c>
      <c r="K463" s="24">
        <f>H463*AP463</f>
        <v>0</v>
      </c>
      <c r="L463" s="24">
        <f>H463*I463</f>
        <v>0</v>
      </c>
      <c r="M463" s="24">
        <v>0</v>
      </c>
      <c r="N463" s="46">
        <f>H463*463</f>
        <v>2778</v>
      </c>
      <c r="O463" s="5"/>
      <c r="Z463" s="37">
        <f>IF(AQ463="5",BJ463,0)</f>
        <v>0</v>
      </c>
      <c r="AB463" s="37">
        <f>IF(AQ463="1",BH463,0)</f>
        <v>0</v>
      </c>
      <c r="AC463" s="37">
        <f>IF(AQ463="1",BI463,0)</f>
        <v>0</v>
      </c>
      <c r="AD463" s="37">
        <f>IF(AQ463="7",BH463,0)</f>
        <v>0</v>
      </c>
      <c r="AE463" s="37">
        <f>IF(AQ463="7",BI463,0)</f>
        <v>0</v>
      </c>
      <c r="AF463" s="37">
        <f>IF(AQ463="2",BH463,0)</f>
        <v>0</v>
      </c>
      <c r="AG463" s="37">
        <f>IF(AQ463="2",BI463,0)</f>
        <v>0</v>
      </c>
      <c r="AH463" s="37">
        <f>IF(AQ463="0",BJ463,0)</f>
        <v>0</v>
      </c>
      <c r="AI463" s="35"/>
      <c r="AJ463" s="24">
        <f>IF(AN463=0,L463,0)</f>
        <v>0</v>
      </c>
      <c r="AK463" s="24">
        <f>IF(AN463=15,L463,0)</f>
        <v>0</v>
      </c>
      <c r="AL463" s="24">
        <f>IF(AN463=21,L463,0)</f>
        <v>0</v>
      </c>
      <c r="AN463" s="37">
        <v>21</v>
      </c>
      <c r="AO463" s="37">
        <f>I463*0</f>
        <v>0</v>
      </c>
      <c r="AP463" s="37">
        <f>I463*(1-0)</f>
        <v>0</v>
      </c>
      <c r="AQ463" s="38" t="s">
        <v>11</v>
      </c>
      <c r="AV463" s="37">
        <f>AW463+AX463</f>
        <v>0</v>
      </c>
      <c r="AW463" s="37">
        <f>H463*AO463</f>
        <v>0</v>
      </c>
      <c r="AX463" s="37">
        <f>H463*AP463</f>
        <v>0</v>
      </c>
      <c r="AY463" s="40" t="s">
        <v>1249</v>
      </c>
      <c r="AZ463" s="40" t="s">
        <v>1260</v>
      </c>
      <c r="BA463" s="35" t="s">
        <v>1262</v>
      </c>
      <c r="BC463" s="37">
        <f>AW463+AX463</f>
        <v>0</v>
      </c>
      <c r="BD463" s="37">
        <f>I463/(100-BE463)*100</f>
        <v>0</v>
      </c>
      <c r="BE463" s="37">
        <v>0</v>
      </c>
      <c r="BF463" s="37">
        <f>N463</f>
        <v>2778</v>
      </c>
      <c r="BH463" s="24">
        <f>H463*AO463</f>
        <v>0</v>
      </c>
      <c r="BI463" s="24">
        <f>H463*AP463</f>
        <v>0</v>
      </c>
      <c r="BJ463" s="24">
        <f>H463*I463</f>
        <v>0</v>
      </c>
      <c r="BK463" s="24" t="s">
        <v>1267</v>
      </c>
      <c r="BL463" s="37" t="s">
        <v>688</v>
      </c>
    </row>
    <row r="464" spans="1:64" x14ac:dyDescent="0.25">
      <c r="A464" s="8" t="s">
        <v>341</v>
      </c>
      <c r="B464" s="17" t="s">
        <v>690</v>
      </c>
      <c r="C464" s="136" t="s">
        <v>1113</v>
      </c>
      <c r="D464" s="137"/>
      <c r="E464" s="137"/>
      <c r="F464" s="137"/>
      <c r="G464" s="17" t="s">
        <v>1168</v>
      </c>
      <c r="H464" s="27">
        <v>6</v>
      </c>
      <c r="I464" s="27">
        <v>0</v>
      </c>
      <c r="J464" s="27">
        <f>H464*AO464</f>
        <v>0</v>
      </c>
      <c r="K464" s="27">
        <f>H464*AP464</f>
        <v>0</v>
      </c>
      <c r="L464" s="27">
        <f>H464*I464</f>
        <v>0</v>
      </c>
      <c r="M464" s="27">
        <v>0</v>
      </c>
      <c r="N464" s="49">
        <f>H464*464</f>
        <v>2784</v>
      </c>
      <c r="O464" s="5"/>
      <c r="Z464" s="37">
        <f>IF(AQ464="5",BJ464,0)</f>
        <v>0</v>
      </c>
      <c r="AB464" s="37">
        <f>IF(AQ464="1",BH464,0)</f>
        <v>0</v>
      </c>
      <c r="AC464" s="37">
        <f>IF(AQ464="1",BI464,0)</f>
        <v>0</v>
      </c>
      <c r="AD464" s="37">
        <f>IF(AQ464="7",BH464,0)</f>
        <v>0</v>
      </c>
      <c r="AE464" s="37">
        <f>IF(AQ464="7",BI464,0)</f>
        <v>0</v>
      </c>
      <c r="AF464" s="37">
        <f>IF(AQ464="2",BH464,0)</f>
        <v>0</v>
      </c>
      <c r="AG464" s="37">
        <f>IF(AQ464="2",BI464,0)</f>
        <v>0</v>
      </c>
      <c r="AH464" s="37">
        <f>IF(AQ464="0",BJ464,0)</f>
        <v>0</v>
      </c>
      <c r="AI464" s="35"/>
      <c r="AJ464" s="24">
        <f>IF(AN464=0,L464,0)</f>
        <v>0</v>
      </c>
      <c r="AK464" s="24">
        <f>IF(AN464=15,L464,0)</f>
        <v>0</v>
      </c>
      <c r="AL464" s="24">
        <f>IF(AN464=21,L464,0)</f>
        <v>0</v>
      </c>
      <c r="AN464" s="37">
        <v>21</v>
      </c>
      <c r="AO464" s="37">
        <f>I464*0</f>
        <v>0</v>
      </c>
      <c r="AP464" s="37">
        <f>I464*(1-0)</f>
        <v>0</v>
      </c>
      <c r="AQ464" s="38" t="s">
        <v>11</v>
      </c>
      <c r="AV464" s="37">
        <f>AW464+AX464</f>
        <v>0</v>
      </c>
      <c r="AW464" s="37">
        <f>H464*AO464</f>
        <v>0</v>
      </c>
      <c r="AX464" s="37">
        <f>H464*AP464</f>
        <v>0</v>
      </c>
      <c r="AY464" s="40" t="s">
        <v>1249</v>
      </c>
      <c r="AZ464" s="40" t="s">
        <v>1260</v>
      </c>
      <c r="BA464" s="35" t="s">
        <v>1262</v>
      </c>
      <c r="BC464" s="37">
        <f>AW464+AX464</f>
        <v>0</v>
      </c>
      <c r="BD464" s="37">
        <f>I464/(100-BE464)*100</f>
        <v>0</v>
      </c>
      <c r="BE464" s="37">
        <v>0</v>
      </c>
      <c r="BF464" s="37">
        <f>N464</f>
        <v>2784</v>
      </c>
      <c r="BH464" s="24">
        <f>H464*AO464</f>
        <v>0</v>
      </c>
      <c r="BI464" s="24">
        <f>H464*AP464</f>
        <v>0</v>
      </c>
      <c r="BJ464" s="24">
        <f>H464*I464</f>
        <v>0</v>
      </c>
      <c r="BK464" s="24" t="s">
        <v>1267</v>
      </c>
      <c r="BL464" s="37" t="s">
        <v>688</v>
      </c>
    </row>
    <row r="465" spans="1:14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138" t="s">
        <v>1180</v>
      </c>
      <c r="K465" s="139"/>
      <c r="L465" s="44">
        <f>ROUND(L12+L17+L19+L24+L27+L32+L44+L51+L63+L65+L78+L86+L88+L92+L100+L114+L121+L134+L154+L188+L213+L225+L263+L266+L269+L271+L296+L309+L314+L318+L322+L325+L328+L332+L338+L340+L342+L344+L346+L348+L350+L352+L354+L356+L358+L360+L362+L364+L366+L368+L372+L379+L419+L436+L454+L462,0)</f>
        <v>0</v>
      </c>
      <c r="M465" s="9"/>
      <c r="N465" s="9"/>
    </row>
    <row r="466" spans="1:14" ht="11.25" customHeight="1" x14ac:dyDescent="0.25">
      <c r="A466" s="10" t="s">
        <v>342</v>
      </c>
    </row>
    <row r="467" spans="1:14" x14ac:dyDescent="0.25">
      <c r="A467" s="113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</row>
  </sheetData>
  <mergeCells count="422">
    <mergeCell ref="A467:N467"/>
    <mergeCell ref="C460:F460"/>
    <mergeCell ref="C461:F461"/>
    <mergeCell ref="C462:F462"/>
    <mergeCell ref="C463:F463"/>
    <mergeCell ref="C464:F464"/>
    <mergeCell ref="J465:K465"/>
    <mergeCell ref="C454:F454"/>
    <mergeCell ref="C455:F455"/>
    <mergeCell ref="C456:F456"/>
    <mergeCell ref="C457:F457"/>
    <mergeCell ref="C458:F458"/>
    <mergeCell ref="C459:F459"/>
    <mergeCell ref="C447:F447"/>
    <mergeCell ref="C449:F449"/>
    <mergeCell ref="C450:F450"/>
    <mergeCell ref="C451:F451"/>
    <mergeCell ref="C452:F452"/>
    <mergeCell ref="C453:F453"/>
    <mergeCell ref="C437:F437"/>
    <mergeCell ref="C438:F438"/>
    <mergeCell ref="C440:F440"/>
    <mergeCell ref="C442:F442"/>
    <mergeCell ref="C444:F444"/>
    <mergeCell ref="C446:F446"/>
    <mergeCell ref="C430:F430"/>
    <mergeCell ref="C432:F432"/>
    <mergeCell ref="C433:F433"/>
    <mergeCell ref="C434:F434"/>
    <mergeCell ref="C435:F435"/>
    <mergeCell ref="C436:F436"/>
    <mergeCell ref="C423:F423"/>
    <mergeCell ref="C424:F424"/>
    <mergeCell ref="C425:F425"/>
    <mergeCell ref="C426:F426"/>
    <mergeCell ref="C427:F427"/>
    <mergeCell ref="C428:F428"/>
    <mergeCell ref="C417:F417"/>
    <mergeCell ref="C418:F418"/>
    <mergeCell ref="C419:F419"/>
    <mergeCell ref="C420:F420"/>
    <mergeCell ref="C421:F421"/>
    <mergeCell ref="C422:F422"/>
    <mergeCell ref="C410:F410"/>
    <mergeCell ref="C411:F411"/>
    <mergeCell ref="C413:F413"/>
    <mergeCell ref="C414:F414"/>
    <mergeCell ref="C415:F415"/>
    <mergeCell ref="C416:F416"/>
    <mergeCell ref="C403:F403"/>
    <mergeCell ref="C404:F404"/>
    <mergeCell ref="C405:F405"/>
    <mergeCell ref="C406:F406"/>
    <mergeCell ref="C407:F407"/>
    <mergeCell ref="C408:F408"/>
    <mergeCell ref="C396:F396"/>
    <mergeCell ref="C397:F397"/>
    <mergeCell ref="C398:F398"/>
    <mergeCell ref="C399:F399"/>
    <mergeCell ref="C401:F401"/>
    <mergeCell ref="C402:F402"/>
    <mergeCell ref="C390:F390"/>
    <mergeCell ref="C391:F391"/>
    <mergeCell ref="C392:F392"/>
    <mergeCell ref="C393:F393"/>
    <mergeCell ref="C394:F394"/>
    <mergeCell ref="C395:F395"/>
    <mergeCell ref="C384:F384"/>
    <mergeCell ref="C385:F385"/>
    <mergeCell ref="C386:F386"/>
    <mergeCell ref="C387:F387"/>
    <mergeCell ref="C388:F388"/>
    <mergeCell ref="C389:F389"/>
    <mergeCell ref="C378:F378"/>
    <mergeCell ref="C379:F379"/>
    <mergeCell ref="C380:F380"/>
    <mergeCell ref="C381:F381"/>
    <mergeCell ref="C382:F382"/>
    <mergeCell ref="C383:F383"/>
    <mergeCell ref="C372:F372"/>
    <mergeCell ref="C373:F373"/>
    <mergeCell ref="C374:F374"/>
    <mergeCell ref="C375:F375"/>
    <mergeCell ref="C376:F376"/>
    <mergeCell ref="C377:F377"/>
    <mergeCell ref="C366:F366"/>
    <mergeCell ref="C367:F367"/>
    <mergeCell ref="C368:F368"/>
    <mergeCell ref="C369:F369"/>
    <mergeCell ref="C370:F370"/>
    <mergeCell ref="C371:F371"/>
    <mergeCell ref="C360:F360"/>
    <mergeCell ref="C361:F361"/>
    <mergeCell ref="C362:F362"/>
    <mergeCell ref="C363:F363"/>
    <mergeCell ref="C364:F364"/>
    <mergeCell ref="C365:F365"/>
    <mergeCell ref="C354:F354"/>
    <mergeCell ref="C355:F355"/>
    <mergeCell ref="C356:F356"/>
    <mergeCell ref="C357:F357"/>
    <mergeCell ref="C358:F358"/>
    <mergeCell ref="C359:F359"/>
    <mergeCell ref="C348:F348"/>
    <mergeCell ref="C349:F349"/>
    <mergeCell ref="C350:F350"/>
    <mergeCell ref="C351:F351"/>
    <mergeCell ref="C352:F352"/>
    <mergeCell ref="C353:F353"/>
    <mergeCell ref="C342:F342"/>
    <mergeCell ref="C343:F343"/>
    <mergeCell ref="C344:F344"/>
    <mergeCell ref="C345:F345"/>
    <mergeCell ref="C346:F346"/>
    <mergeCell ref="C347:F347"/>
    <mergeCell ref="C336:F336"/>
    <mergeCell ref="C337:F337"/>
    <mergeCell ref="C338:F338"/>
    <mergeCell ref="C339:F339"/>
    <mergeCell ref="C340:F340"/>
    <mergeCell ref="C341:F341"/>
    <mergeCell ref="C330:F330"/>
    <mergeCell ref="C331:F331"/>
    <mergeCell ref="C332:F332"/>
    <mergeCell ref="C333:F333"/>
    <mergeCell ref="C334:F334"/>
    <mergeCell ref="C335:F335"/>
    <mergeCell ref="C324:F324"/>
    <mergeCell ref="C325:F325"/>
    <mergeCell ref="C326:F326"/>
    <mergeCell ref="C327:F327"/>
    <mergeCell ref="C328:F328"/>
    <mergeCell ref="C329:F329"/>
    <mergeCell ref="C317:F317"/>
    <mergeCell ref="C318:F318"/>
    <mergeCell ref="C319:F319"/>
    <mergeCell ref="C320:F320"/>
    <mergeCell ref="C322:F322"/>
    <mergeCell ref="C323:F323"/>
    <mergeCell ref="C311:F311"/>
    <mergeCell ref="C312:F312"/>
    <mergeCell ref="C313:F313"/>
    <mergeCell ref="C314:F314"/>
    <mergeCell ref="C315:F315"/>
    <mergeCell ref="C316:F316"/>
    <mergeCell ref="C301:F301"/>
    <mergeCell ref="C303:F303"/>
    <mergeCell ref="C305:F305"/>
    <mergeCell ref="C307:F307"/>
    <mergeCell ref="C309:F309"/>
    <mergeCell ref="C310:F310"/>
    <mergeCell ref="C293:F293"/>
    <mergeCell ref="C294:F294"/>
    <mergeCell ref="C295:F295"/>
    <mergeCell ref="C296:F296"/>
    <mergeCell ref="C297:F297"/>
    <mergeCell ref="C299:F299"/>
    <mergeCell ref="C278:F278"/>
    <mergeCell ref="C279:F279"/>
    <mergeCell ref="C283:F283"/>
    <mergeCell ref="C285:F285"/>
    <mergeCell ref="C287:F287"/>
    <mergeCell ref="C292:F292"/>
    <mergeCell ref="C270:F270"/>
    <mergeCell ref="C271:F271"/>
    <mergeCell ref="C272:F272"/>
    <mergeCell ref="C273:F273"/>
    <mergeCell ref="C274:F274"/>
    <mergeCell ref="C276:F276"/>
    <mergeCell ref="C263:F263"/>
    <mergeCell ref="C264:F264"/>
    <mergeCell ref="C266:F266"/>
    <mergeCell ref="C267:F267"/>
    <mergeCell ref="C268:F268"/>
    <mergeCell ref="C269:F269"/>
    <mergeCell ref="C257:F257"/>
    <mergeCell ref="C258:F258"/>
    <mergeCell ref="C259:F259"/>
    <mergeCell ref="C260:F260"/>
    <mergeCell ref="C261:F261"/>
    <mergeCell ref="C262:F262"/>
    <mergeCell ref="C251:F251"/>
    <mergeCell ref="C252:F252"/>
    <mergeCell ref="C253:F253"/>
    <mergeCell ref="C254:F254"/>
    <mergeCell ref="C255:F255"/>
    <mergeCell ref="C256:F256"/>
    <mergeCell ref="C245:F245"/>
    <mergeCell ref="C246:F246"/>
    <mergeCell ref="C247:F247"/>
    <mergeCell ref="C248:F248"/>
    <mergeCell ref="C249:F249"/>
    <mergeCell ref="C250:F250"/>
    <mergeCell ref="C239:F239"/>
    <mergeCell ref="C240:F240"/>
    <mergeCell ref="C241:F241"/>
    <mergeCell ref="C242:F242"/>
    <mergeCell ref="C243:F243"/>
    <mergeCell ref="C244:F244"/>
    <mergeCell ref="C233:F233"/>
    <mergeCell ref="C234:F234"/>
    <mergeCell ref="C235:F235"/>
    <mergeCell ref="C236:F236"/>
    <mergeCell ref="C237:F237"/>
    <mergeCell ref="C238:F238"/>
    <mergeCell ref="C227:F227"/>
    <mergeCell ref="C228:F228"/>
    <mergeCell ref="C229:F229"/>
    <mergeCell ref="C230:F230"/>
    <mergeCell ref="C231:F231"/>
    <mergeCell ref="C232:F232"/>
    <mergeCell ref="C221:F221"/>
    <mergeCell ref="C222:F222"/>
    <mergeCell ref="C223:F223"/>
    <mergeCell ref="C224:F224"/>
    <mergeCell ref="C225:F225"/>
    <mergeCell ref="C226:F226"/>
    <mergeCell ref="C215:F215"/>
    <mergeCell ref="C216:F216"/>
    <mergeCell ref="C217:F217"/>
    <mergeCell ref="C218:F218"/>
    <mergeCell ref="C219:F219"/>
    <mergeCell ref="C220:F220"/>
    <mergeCell ref="C208:F208"/>
    <mergeCell ref="C209:F209"/>
    <mergeCell ref="C210:F210"/>
    <mergeCell ref="C212:F212"/>
    <mergeCell ref="C213:F213"/>
    <mergeCell ref="C214:F214"/>
    <mergeCell ref="C201:F201"/>
    <mergeCell ref="C202:F202"/>
    <mergeCell ref="C203:F203"/>
    <mergeCell ref="C204:F204"/>
    <mergeCell ref="C205:F205"/>
    <mergeCell ref="C207:F207"/>
    <mergeCell ref="C193:F193"/>
    <mergeCell ref="C194:F194"/>
    <mergeCell ref="C195:F195"/>
    <mergeCell ref="C197:F197"/>
    <mergeCell ref="C199:F199"/>
    <mergeCell ref="C200:F200"/>
    <mergeCell ref="C187:F187"/>
    <mergeCell ref="C188:F188"/>
    <mergeCell ref="C189:F189"/>
    <mergeCell ref="C190:F190"/>
    <mergeCell ref="C191:F191"/>
    <mergeCell ref="C192:F192"/>
    <mergeCell ref="C181:F181"/>
    <mergeCell ref="C182:F182"/>
    <mergeCell ref="C183:F183"/>
    <mergeCell ref="C184:F184"/>
    <mergeCell ref="C185:F185"/>
    <mergeCell ref="C186:F186"/>
    <mergeCell ref="C175:F175"/>
    <mergeCell ref="C176:F176"/>
    <mergeCell ref="C177:F177"/>
    <mergeCell ref="C178:F178"/>
    <mergeCell ref="C179:F179"/>
    <mergeCell ref="C180:F180"/>
    <mergeCell ref="C169:F169"/>
    <mergeCell ref="C170:F170"/>
    <mergeCell ref="C171:F171"/>
    <mergeCell ref="C172:F172"/>
    <mergeCell ref="C173:F173"/>
    <mergeCell ref="C174:F174"/>
    <mergeCell ref="C162:F162"/>
    <mergeCell ref="C164:F164"/>
    <mergeCell ref="C165:F165"/>
    <mergeCell ref="C166:F166"/>
    <mergeCell ref="C167:F167"/>
    <mergeCell ref="C168:F168"/>
    <mergeCell ref="C156:F156"/>
    <mergeCell ref="C157:F157"/>
    <mergeCell ref="C158:F158"/>
    <mergeCell ref="C159:F159"/>
    <mergeCell ref="C160:F160"/>
    <mergeCell ref="C161:F161"/>
    <mergeCell ref="C149:F149"/>
    <mergeCell ref="C150:F150"/>
    <mergeCell ref="C151:F151"/>
    <mergeCell ref="C153:F153"/>
    <mergeCell ref="C154:F154"/>
    <mergeCell ref="C155:F155"/>
    <mergeCell ref="C143:F143"/>
    <mergeCell ref="C144:F144"/>
    <mergeCell ref="C145:F145"/>
    <mergeCell ref="C146:F146"/>
    <mergeCell ref="C147:F147"/>
    <mergeCell ref="C148:F148"/>
    <mergeCell ref="C137:F137"/>
    <mergeCell ref="C138:F138"/>
    <mergeCell ref="C139:F139"/>
    <mergeCell ref="C140:F140"/>
    <mergeCell ref="C141:F141"/>
    <mergeCell ref="C142:F142"/>
    <mergeCell ref="C131:F131"/>
    <mergeCell ref="C132:F132"/>
    <mergeCell ref="C133:F133"/>
    <mergeCell ref="C134:F134"/>
    <mergeCell ref="C135:F135"/>
    <mergeCell ref="C136:F136"/>
    <mergeCell ref="C125:F125"/>
    <mergeCell ref="C126:F126"/>
    <mergeCell ref="C127:F127"/>
    <mergeCell ref="C128:F128"/>
    <mergeCell ref="C129:F129"/>
    <mergeCell ref="C130:F130"/>
    <mergeCell ref="C119:F119"/>
    <mergeCell ref="C120:F120"/>
    <mergeCell ref="C121:F121"/>
    <mergeCell ref="C122:F122"/>
    <mergeCell ref="C123:F123"/>
    <mergeCell ref="C124:F124"/>
    <mergeCell ref="C113:F113"/>
    <mergeCell ref="C114:F114"/>
    <mergeCell ref="C115:F115"/>
    <mergeCell ref="C116:F116"/>
    <mergeCell ref="C117:F117"/>
    <mergeCell ref="C118:F118"/>
    <mergeCell ref="C107:F107"/>
    <mergeCell ref="C108:F108"/>
    <mergeCell ref="C109:F109"/>
    <mergeCell ref="C110:F110"/>
    <mergeCell ref="C111:F111"/>
    <mergeCell ref="C112:F112"/>
    <mergeCell ref="C101:F101"/>
    <mergeCell ref="C102:F102"/>
    <mergeCell ref="C103:F103"/>
    <mergeCell ref="C104:F104"/>
    <mergeCell ref="C105:F105"/>
    <mergeCell ref="C106:F106"/>
    <mergeCell ref="C95:F95"/>
    <mergeCell ref="C96:F96"/>
    <mergeCell ref="C97:F97"/>
    <mergeCell ref="C98:F98"/>
    <mergeCell ref="C99:F99"/>
    <mergeCell ref="C100:F100"/>
    <mergeCell ref="C88:F88"/>
    <mergeCell ref="C89:F89"/>
    <mergeCell ref="C91:F91"/>
    <mergeCell ref="C92:F92"/>
    <mergeCell ref="C93:F93"/>
    <mergeCell ref="C94:F94"/>
    <mergeCell ref="C79:F79"/>
    <mergeCell ref="C81:F81"/>
    <mergeCell ref="C83:F83"/>
    <mergeCell ref="C85:F85"/>
    <mergeCell ref="C86:F86"/>
    <mergeCell ref="C87:F87"/>
    <mergeCell ref="C68:F68"/>
    <mergeCell ref="C70:F70"/>
    <mergeCell ref="C72:F72"/>
    <mergeCell ref="C74:F74"/>
    <mergeCell ref="C76:F76"/>
    <mergeCell ref="C78:F78"/>
    <mergeCell ref="C59:F59"/>
    <mergeCell ref="C61:F61"/>
    <mergeCell ref="C63:F63"/>
    <mergeCell ref="C64:F64"/>
    <mergeCell ref="C65:F65"/>
    <mergeCell ref="C66:F66"/>
    <mergeCell ref="C49:F49"/>
    <mergeCell ref="C50:F50"/>
    <mergeCell ref="C51:F51"/>
    <mergeCell ref="C52:F52"/>
    <mergeCell ref="C54:F54"/>
    <mergeCell ref="C57:F57"/>
    <mergeCell ref="C42:F42"/>
    <mergeCell ref="C44:F44"/>
    <mergeCell ref="C45:F45"/>
    <mergeCell ref="C46:F46"/>
    <mergeCell ref="C47:F47"/>
    <mergeCell ref="C48:F48"/>
    <mergeCell ref="C31:F31"/>
    <mergeCell ref="C32:F32"/>
    <mergeCell ref="C33:F33"/>
    <mergeCell ref="C36:F36"/>
    <mergeCell ref="C38:F38"/>
    <mergeCell ref="C40:F40"/>
    <mergeCell ref="C22:F22"/>
    <mergeCell ref="C24:F24"/>
    <mergeCell ref="C25:F25"/>
    <mergeCell ref="C27:F27"/>
    <mergeCell ref="C28:F28"/>
    <mergeCell ref="C30:F30"/>
    <mergeCell ref="C15:F15"/>
    <mergeCell ref="C16:F16"/>
    <mergeCell ref="C17:F17"/>
    <mergeCell ref="C18:F18"/>
    <mergeCell ref="C19:F19"/>
    <mergeCell ref="C20:F20"/>
    <mergeCell ref="C10:F10"/>
    <mergeCell ref="J10:L10"/>
    <mergeCell ref="M10:N10"/>
    <mergeCell ref="C11:F11"/>
    <mergeCell ref="C12:F12"/>
    <mergeCell ref="C13:F13"/>
    <mergeCell ref="A8:B9"/>
    <mergeCell ref="C8:C9"/>
    <mergeCell ref="D8:D9"/>
    <mergeCell ref="E8:E9"/>
    <mergeCell ref="F8:F9"/>
    <mergeCell ref="G8:N9"/>
    <mergeCell ref="A6:B7"/>
    <mergeCell ref="C6:C7"/>
    <mergeCell ref="D6:D7"/>
    <mergeCell ref="E6:E7"/>
    <mergeCell ref="F6:F7"/>
    <mergeCell ref="G6:N7"/>
    <mergeCell ref="A4:B5"/>
    <mergeCell ref="C4:C5"/>
    <mergeCell ref="D4:D5"/>
    <mergeCell ref="E4:E5"/>
    <mergeCell ref="F4:F5"/>
    <mergeCell ref="G4:N5"/>
    <mergeCell ref="A1:N1"/>
    <mergeCell ref="A2:B3"/>
    <mergeCell ref="C2:C3"/>
    <mergeCell ref="D2:D3"/>
    <mergeCell ref="E2:E3"/>
    <mergeCell ref="F2:F3"/>
    <mergeCell ref="G2:N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pane ySplit="10" topLeftCell="A11" activePane="bottomLeft" state="frozenSplit"/>
      <selection pane="bottomLeft" sqref="A1:G1"/>
    </sheetView>
  </sheetViews>
  <sheetFormatPr defaultColWidth="11.5546875" defaultRowHeight="13.2" x14ac:dyDescent="0.25"/>
  <cols>
    <col min="1" max="2" width="3.5546875" customWidth="1"/>
    <col min="3" max="3" width="57.21875" customWidth="1"/>
    <col min="4" max="4" width="22.109375" customWidth="1"/>
    <col min="5" max="5" width="21" customWidth="1"/>
    <col min="6" max="6" width="20.88671875" customWidth="1"/>
    <col min="7" max="7" width="37.21875" customWidth="1"/>
    <col min="8" max="9" width="0" hidden="1" customWidth="1"/>
  </cols>
  <sheetData>
    <row r="1" spans="1:9" ht="73.05" customHeight="1" x14ac:dyDescent="0.4">
      <c r="A1" s="100" t="s">
        <v>1270</v>
      </c>
      <c r="B1" s="101"/>
      <c r="C1" s="101"/>
      <c r="D1" s="101"/>
      <c r="E1" s="101"/>
      <c r="F1" s="101"/>
      <c r="G1" s="101"/>
    </row>
    <row r="2" spans="1:9" x14ac:dyDescent="0.25">
      <c r="A2" s="102" t="s">
        <v>1</v>
      </c>
      <c r="B2" s="103"/>
      <c r="C2" s="106" t="str">
        <f>'Stavební rozpočet'!C2</f>
        <v>Plynová kotelna pro vytápění ZŠ Doubrava</v>
      </c>
      <c r="D2" s="108" t="s">
        <v>1114</v>
      </c>
      <c r="E2" s="108" t="s">
        <v>1118</v>
      </c>
      <c r="F2" s="109" t="s">
        <v>1121</v>
      </c>
      <c r="G2" s="140" t="str">
        <f>'Stavební rozpočet'!G2</f>
        <v>Obec Doubrava,Doubrava č.p. 599, 735 33 Doubrava_x000D_</v>
      </c>
      <c r="H2" s="5"/>
    </row>
    <row r="3" spans="1:9" x14ac:dyDescent="0.25">
      <c r="A3" s="104"/>
      <c r="B3" s="105"/>
      <c r="C3" s="107"/>
      <c r="D3" s="105"/>
      <c r="E3" s="105"/>
      <c r="F3" s="105"/>
      <c r="G3" s="111"/>
      <c r="H3" s="5"/>
    </row>
    <row r="4" spans="1:9" x14ac:dyDescent="0.25">
      <c r="A4" s="112" t="s">
        <v>2</v>
      </c>
      <c r="B4" s="105"/>
      <c r="C4" s="113" t="str">
        <f>'Stavební rozpočet'!C4</f>
        <v>Občanská vybavenost</v>
      </c>
      <c r="D4" s="114" t="s">
        <v>1115</v>
      </c>
      <c r="E4" s="114" t="s">
        <v>6</v>
      </c>
      <c r="F4" s="113" t="s">
        <v>1122</v>
      </c>
      <c r="G4" s="141" t="str">
        <f>'Stavební rozpočet'!G4</f>
        <v>Ing. Stanislav Wilczek</v>
      </c>
      <c r="H4" s="5"/>
    </row>
    <row r="5" spans="1:9" x14ac:dyDescent="0.25">
      <c r="A5" s="104"/>
      <c r="B5" s="105"/>
      <c r="C5" s="105"/>
      <c r="D5" s="105"/>
      <c r="E5" s="105"/>
      <c r="F5" s="105"/>
      <c r="G5" s="111"/>
      <c r="H5" s="5"/>
    </row>
    <row r="6" spans="1:9" x14ac:dyDescent="0.25">
      <c r="A6" s="112" t="s">
        <v>3</v>
      </c>
      <c r="B6" s="105"/>
      <c r="C6" s="113" t="str">
        <f>'Stavební rozpočet'!C6</f>
        <v>Obec Doubrava, č.p. 546,  735 33 Doubrava</v>
      </c>
      <c r="D6" s="114" t="s">
        <v>1116</v>
      </c>
      <c r="E6" s="114" t="s">
        <v>1119</v>
      </c>
      <c r="F6" s="113" t="s">
        <v>1123</v>
      </c>
      <c r="G6" s="141" t="str">
        <f>'Stavební rozpočet'!G6</f>
        <v> </v>
      </c>
      <c r="H6" s="5"/>
    </row>
    <row r="7" spans="1:9" x14ac:dyDescent="0.25">
      <c r="A7" s="104"/>
      <c r="B7" s="105"/>
      <c r="C7" s="105"/>
      <c r="D7" s="105"/>
      <c r="E7" s="105"/>
      <c r="F7" s="105"/>
      <c r="G7" s="111"/>
      <c r="H7" s="5"/>
    </row>
    <row r="8" spans="1:9" x14ac:dyDescent="0.25">
      <c r="A8" s="112" t="s">
        <v>1124</v>
      </c>
      <c r="B8" s="105"/>
      <c r="C8" s="113" t="str">
        <f>'Stavební rozpočet'!G8</f>
        <v>Ing. Stanislav Wilczek</v>
      </c>
      <c r="D8" s="114" t="s">
        <v>1117</v>
      </c>
      <c r="E8" s="114" t="s">
        <v>1120</v>
      </c>
      <c r="F8" s="114" t="s">
        <v>1117</v>
      </c>
      <c r="G8" s="141" t="str">
        <f>'Stavební rozpočet'!E8</f>
        <v>18.12.2021</v>
      </c>
      <c r="H8" s="5"/>
    </row>
    <row r="9" spans="1:9" x14ac:dyDescent="0.25">
      <c r="A9" s="115"/>
      <c r="B9" s="116"/>
      <c r="C9" s="116"/>
      <c r="D9" s="116"/>
      <c r="E9" s="116"/>
      <c r="F9" s="116"/>
      <c r="G9" s="117"/>
      <c r="H9" s="5"/>
    </row>
    <row r="10" spans="1:9" x14ac:dyDescent="0.25">
      <c r="A10" s="142" t="s">
        <v>343</v>
      </c>
      <c r="B10" s="143"/>
      <c r="C10" s="50" t="s">
        <v>694</v>
      </c>
      <c r="D10" s="53" t="s">
        <v>1271</v>
      </c>
      <c r="E10" s="53" t="s">
        <v>1272</v>
      </c>
      <c r="F10" s="53" t="s">
        <v>1273</v>
      </c>
      <c r="G10" s="54" t="s">
        <v>1274</v>
      </c>
      <c r="H10" s="55"/>
    </row>
    <row r="11" spans="1:9" x14ac:dyDescent="0.25">
      <c r="A11" s="144" t="s">
        <v>17</v>
      </c>
      <c r="B11" s="145"/>
      <c r="C11" s="51" t="s">
        <v>696</v>
      </c>
      <c r="D11" s="57">
        <f>'Stavební rozpočet'!J12</f>
        <v>0</v>
      </c>
      <c r="E11" s="57">
        <f>'Stavební rozpočet'!K12</f>
        <v>0</v>
      </c>
      <c r="F11" s="57">
        <f>'Stavební rozpočet'!L12</f>
        <v>0</v>
      </c>
      <c r="G11" s="59">
        <f>'Stavební rozpočet'!N12</f>
        <v>289.14999999999998</v>
      </c>
      <c r="H11" s="56" t="s">
        <v>1275</v>
      </c>
      <c r="I11" s="37">
        <f t="shared" ref="I11:I42" si="0">IF(G11="F",0,F11)</f>
        <v>0</v>
      </c>
    </row>
    <row r="12" spans="1:9" x14ac:dyDescent="0.25">
      <c r="A12" s="146" t="s">
        <v>347</v>
      </c>
      <c r="B12" s="105"/>
      <c r="C12" s="19" t="s">
        <v>700</v>
      </c>
      <c r="D12" s="37">
        <f>'Stavební rozpočet'!J17</f>
        <v>0</v>
      </c>
      <c r="E12" s="37">
        <f>'Stavební rozpočet'!K17</f>
        <v>0</v>
      </c>
      <c r="F12" s="37">
        <f>'Stavební rozpočet'!L17</f>
        <v>0</v>
      </c>
      <c r="G12" s="60">
        <f>'Stavební rozpočet'!N17</f>
        <v>288</v>
      </c>
      <c r="H12" s="56" t="s">
        <v>1275</v>
      </c>
      <c r="I12" s="37">
        <f t="shared" si="0"/>
        <v>0</v>
      </c>
    </row>
    <row r="13" spans="1:9" x14ac:dyDescent="0.25">
      <c r="A13" s="146" t="s">
        <v>18</v>
      </c>
      <c r="B13" s="105"/>
      <c r="C13" s="19" t="s">
        <v>702</v>
      </c>
      <c r="D13" s="37">
        <f>'Stavební rozpočet'!J19</f>
        <v>0</v>
      </c>
      <c r="E13" s="37">
        <f>'Stavební rozpočet'!K19</f>
        <v>0</v>
      </c>
      <c r="F13" s="37">
        <f>'Stavební rozpočet'!L19</f>
        <v>0</v>
      </c>
      <c r="G13" s="60">
        <f>'Stavební rozpočet'!N19</f>
        <v>428.82000000000005</v>
      </c>
      <c r="H13" s="56" t="s">
        <v>1275</v>
      </c>
      <c r="I13" s="37">
        <f t="shared" si="0"/>
        <v>0</v>
      </c>
    </row>
    <row r="14" spans="1:9" x14ac:dyDescent="0.25">
      <c r="A14" s="146" t="s">
        <v>19</v>
      </c>
      <c r="B14" s="105"/>
      <c r="C14" s="19" t="s">
        <v>706</v>
      </c>
      <c r="D14" s="37">
        <f>'Stavební rozpočet'!J24</f>
        <v>0</v>
      </c>
      <c r="E14" s="37">
        <f>'Stavební rozpočet'!K24</f>
        <v>0</v>
      </c>
      <c r="F14" s="37">
        <f>'Stavební rozpočet'!L24</f>
        <v>0</v>
      </c>
      <c r="G14" s="60">
        <f>'Stavební rozpočet'!N24</f>
        <v>258.5</v>
      </c>
      <c r="H14" s="56" t="s">
        <v>1275</v>
      </c>
      <c r="I14" s="37">
        <f t="shared" si="0"/>
        <v>0</v>
      </c>
    </row>
    <row r="15" spans="1:9" x14ac:dyDescent="0.25">
      <c r="A15" s="146" t="s">
        <v>22</v>
      </c>
      <c r="B15" s="105"/>
      <c r="C15" s="19" t="s">
        <v>709</v>
      </c>
      <c r="D15" s="37">
        <f>'Stavební rozpočet'!J27</f>
        <v>0</v>
      </c>
      <c r="E15" s="37">
        <f>'Stavební rozpočet'!K27</f>
        <v>0</v>
      </c>
      <c r="F15" s="37">
        <f>'Stavební rozpočet'!L27</f>
        <v>0</v>
      </c>
      <c r="G15" s="60">
        <f>'Stavební rozpočet'!N27</f>
        <v>2474.2000000000003</v>
      </c>
      <c r="H15" s="56" t="s">
        <v>1275</v>
      </c>
      <c r="I15" s="37">
        <f t="shared" si="0"/>
        <v>0</v>
      </c>
    </row>
    <row r="16" spans="1:9" x14ac:dyDescent="0.25">
      <c r="A16" s="146" t="s">
        <v>23</v>
      </c>
      <c r="B16" s="105"/>
      <c r="C16" s="19" t="s">
        <v>714</v>
      </c>
      <c r="D16" s="37">
        <f>'Stavební rozpočet'!J32</f>
        <v>0</v>
      </c>
      <c r="E16" s="37">
        <f>'Stavební rozpočet'!K32</f>
        <v>0</v>
      </c>
      <c r="F16" s="37">
        <f>'Stavební rozpočet'!L32</f>
        <v>0</v>
      </c>
      <c r="G16" s="60">
        <f>'Stavební rozpočet'!N32</f>
        <v>5297.2300000000005</v>
      </c>
      <c r="H16" s="56" t="s">
        <v>1275</v>
      </c>
      <c r="I16" s="37">
        <f t="shared" si="0"/>
        <v>0</v>
      </c>
    </row>
    <row r="17" spans="1:9" x14ac:dyDescent="0.25">
      <c r="A17" s="146" t="s">
        <v>37</v>
      </c>
      <c r="B17" s="105"/>
      <c r="C17" s="19" t="s">
        <v>726</v>
      </c>
      <c r="D17" s="37">
        <f>'Stavební rozpočet'!J44</f>
        <v>0</v>
      </c>
      <c r="E17" s="37">
        <f>'Stavební rozpočet'!K44</f>
        <v>0</v>
      </c>
      <c r="F17" s="37">
        <f>'Stavební rozpočet'!L44</f>
        <v>0</v>
      </c>
      <c r="G17" s="60">
        <f>'Stavební rozpočet'!N44</f>
        <v>963</v>
      </c>
      <c r="H17" s="56" t="s">
        <v>1275</v>
      </c>
      <c r="I17" s="37">
        <f t="shared" si="0"/>
        <v>0</v>
      </c>
    </row>
    <row r="18" spans="1:9" x14ac:dyDescent="0.25">
      <c r="A18" s="146" t="s">
        <v>39</v>
      </c>
      <c r="B18" s="105"/>
      <c r="C18" s="19" t="s">
        <v>733</v>
      </c>
      <c r="D18" s="37">
        <f>'Stavební rozpočet'!J51</f>
        <v>0</v>
      </c>
      <c r="E18" s="37">
        <f>'Stavební rozpočet'!K51</f>
        <v>0</v>
      </c>
      <c r="F18" s="37">
        <f>'Stavební rozpočet'!L51</f>
        <v>0</v>
      </c>
      <c r="G18" s="60">
        <f>'Stavební rozpočet'!N51</f>
        <v>2626</v>
      </c>
      <c r="H18" s="56" t="s">
        <v>1275</v>
      </c>
      <c r="I18" s="37">
        <f t="shared" si="0"/>
        <v>0</v>
      </c>
    </row>
    <row r="19" spans="1:9" x14ac:dyDescent="0.25">
      <c r="A19" s="146" t="s">
        <v>49</v>
      </c>
      <c r="B19" s="105"/>
      <c r="C19" s="19" t="s">
        <v>740</v>
      </c>
      <c r="D19" s="37">
        <f>'Stavební rozpočet'!J63</f>
        <v>0</v>
      </c>
      <c r="E19" s="37">
        <f>'Stavební rozpočet'!K63</f>
        <v>0</v>
      </c>
      <c r="F19" s="37">
        <f>'Stavební rozpočet'!L63</f>
        <v>0</v>
      </c>
      <c r="G19" s="60">
        <f>'Stavební rozpočet'!N63</f>
        <v>22.4</v>
      </c>
      <c r="H19" s="56" t="s">
        <v>1275</v>
      </c>
      <c r="I19" s="37">
        <f t="shared" si="0"/>
        <v>0</v>
      </c>
    </row>
    <row r="20" spans="1:9" x14ac:dyDescent="0.25">
      <c r="A20" s="146" t="s">
        <v>52</v>
      </c>
      <c r="B20" s="105"/>
      <c r="C20" s="19" t="s">
        <v>742</v>
      </c>
      <c r="D20" s="37">
        <f>'Stavební rozpočet'!J65</f>
        <v>0</v>
      </c>
      <c r="E20" s="37">
        <f>'Stavební rozpočet'!K65</f>
        <v>0</v>
      </c>
      <c r="F20" s="37">
        <f>'Stavební rozpočet'!L65</f>
        <v>0</v>
      </c>
      <c r="G20" s="60">
        <f>'Stavební rozpočet'!N65</f>
        <v>10567.8</v>
      </c>
      <c r="H20" s="56" t="s">
        <v>1275</v>
      </c>
      <c r="I20" s="37">
        <f t="shared" si="0"/>
        <v>0</v>
      </c>
    </row>
    <row r="21" spans="1:9" x14ac:dyDescent="0.25">
      <c r="A21" s="146" t="s">
        <v>67</v>
      </c>
      <c r="B21" s="105"/>
      <c r="C21" s="19" t="s">
        <v>755</v>
      </c>
      <c r="D21" s="37">
        <f>'Stavební rozpočet'!J78</f>
        <v>0</v>
      </c>
      <c r="E21" s="37">
        <f>'Stavební rozpočet'!K78</f>
        <v>0</v>
      </c>
      <c r="F21" s="37">
        <f>'Stavební rozpočet'!L78</f>
        <v>0</v>
      </c>
      <c r="G21" s="60">
        <f>'Stavební rozpočet'!N78</f>
        <v>7082.76</v>
      </c>
      <c r="H21" s="56" t="s">
        <v>1275</v>
      </c>
      <c r="I21" s="37">
        <f t="shared" si="0"/>
        <v>0</v>
      </c>
    </row>
    <row r="22" spans="1:9" x14ac:dyDescent="0.25">
      <c r="A22" s="146" t="s">
        <v>68</v>
      </c>
      <c r="B22" s="105"/>
      <c r="C22" s="19" t="s">
        <v>763</v>
      </c>
      <c r="D22" s="37">
        <f>'Stavební rozpočet'!J86</f>
        <v>0</v>
      </c>
      <c r="E22" s="37">
        <f>'Stavební rozpočet'!K86</f>
        <v>0</v>
      </c>
      <c r="F22" s="37">
        <f>'Stavební rozpočet'!L86</f>
        <v>0</v>
      </c>
      <c r="G22" s="60">
        <f>'Stavební rozpočet'!N86</f>
        <v>43.5</v>
      </c>
      <c r="H22" s="56" t="s">
        <v>1275</v>
      </c>
      <c r="I22" s="37">
        <f t="shared" si="0"/>
        <v>0</v>
      </c>
    </row>
    <row r="23" spans="1:9" x14ac:dyDescent="0.25">
      <c r="A23" s="146" t="s">
        <v>69</v>
      </c>
      <c r="B23" s="105"/>
      <c r="C23" s="19" t="s">
        <v>765</v>
      </c>
      <c r="D23" s="37">
        <f>'Stavební rozpočet'!J88</f>
        <v>0</v>
      </c>
      <c r="E23" s="37">
        <f>'Stavební rozpočet'!K88</f>
        <v>0</v>
      </c>
      <c r="F23" s="37">
        <f>'Stavební rozpočet'!L88</f>
        <v>0</v>
      </c>
      <c r="G23" s="60">
        <f>'Stavební rozpočet'!N88</f>
        <v>70.53</v>
      </c>
      <c r="H23" s="56" t="s">
        <v>1275</v>
      </c>
      <c r="I23" s="37">
        <f t="shared" si="0"/>
        <v>0</v>
      </c>
    </row>
    <row r="24" spans="1:9" x14ac:dyDescent="0.25">
      <c r="A24" s="146" t="s">
        <v>70</v>
      </c>
      <c r="B24" s="105"/>
      <c r="C24" s="19" t="s">
        <v>769</v>
      </c>
      <c r="D24" s="37">
        <f>'Stavební rozpočet'!J92</f>
        <v>0</v>
      </c>
      <c r="E24" s="37">
        <f>'Stavební rozpočet'!K92</f>
        <v>0</v>
      </c>
      <c r="F24" s="37">
        <f>'Stavební rozpočet'!L92</f>
        <v>0</v>
      </c>
      <c r="G24" s="60">
        <f>'Stavební rozpočet'!N92</f>
        <v>672</v>
      </c>
      <c r="H24" s="56" t="s">
        <v>1275</v>
      </c>
      <c r="I24" s="37">
        <f t="shared" si="0"/>
        <v>0</v>
      </c>
    </row>
    <row r="25" spans="1:9" x14ac:dyDescent="0.25">
      <c r="A25" s="146" t="s">
        <v>391</v>
      </c>
      <c r="B25" s="105"/>
      <c r="C25" s="19" t="s">
        <v>777</v>
      </c>
      <c r="D25" s="37">
        <f>'Stavební rozpočet'!J100</f>
        <v>0</v>
      </c>
      <c r="E25" s="37">
        <f>'Stavební rozpočet'!K100</f>
        <v>0</v>
      </c>
      <c r="F25" s="37">
        <f>'Stavební rozpočet'!L100</f>
        <v>0</v>
      </c>
      <c r="G25" s="60">
        <f>'Stavební rozpočet'!N100</f>
        <v>11646</v>
      </c>
      <c r="H25" s="56" t="s">
        <v>1275</v>
      </c>
      <c r="I25" s="37">
        <f t="shared" si="0"/>
        <v>0</v>
      </c>
    </row>
    <row r="26" spans="1:9" x14ac:dyDescent="0.25">
      <c r="A26" s="146" t="s">
        <v>403</v>
      </c>
      <c r="B26" s="105"/>
      <c r="C26" s="19" t="s">
        <v>791</v>
      </c>
      <c r="D26" s="37">
        <f>'Stavební rozpočet'!J114</f>
        <v>0</v>
      </c>
      <c r="E26" s="37">
        <f>'Stavební rozpočet'!K114</f>
        <v>0</v>
      </c>
      <c r="F26" s="37">
        <f>'Stavební rozpočet'!L114</f>
        <v>0</v>
      </c>
      <c r="G26" s="60">
        <f>'Stavební rozpočet'!N114</f>
        <v>2289</v>
      </c>
      <c r="H26" s="56" t="s">
        <v>1275</v>
      </c>
      <c r="I26" s="37">
        <f t="shared" si="0"/>
        <v>0</v>
      </c>
    </row>
    <row r="27" spans="1:9" x14ac:dyDescent="0.25">
      <c r="A27" s="146" t="s">
        <v>410</v>
      </c>
      <c r="B27" s="105"/>
      <c r="C27" s="19" t="s">
        <v>798</v>
      </c>
      <c r="D27" s="37">
        <f>'Stavební rozpočet'!J121</f>
        <v>0</v>
      </c>
      <c r="E27" s="37">
        <f>'Stavební rozpočet'!K121</f>
        <v>0</v>
      </c>
      <c r="F27" s="37">
        <f>'Stavební rozpočet'!L121</f>
        <v>0</v>
      </c>
      <c r="G27" s="60">
        <f>'Stavební rozpočet'!N121</f>
        <v>6128</v>
      </c>
      <c r="H27" s="56" t="s">
        <v>1275</v>
      </c>
      <c r="I27" s="37">
        <f t="shared" si="0"/>
        <v>0</v>
      </c>
    </row>
    <row r="28" spans="1:9" x14ac:dyDescent="0.25">
      <c r="A28" s="146" t="s">
        <v>423</v>
      </c>
      <c r="B28" s="105"/>
      <c r="C28" s="19" t="s">
        <v>811</v>
      </c>
      <c r="D28" s="37">
        <f>'Stavební rozpočet'!J134</f>
        <v>0</v>
      </c>
      <c r="E28" s="37">
        <f>'Stavební rozpočet'!K134</f>
        <v>0</v>
      </c>
      <c r="F28" s="37">
        <f>'Stavební rozpočet'!L134</f>
        <v>0</v>
      </c>
      <c r="G28" s="60">
        <f>'Stavební rozpočet'!N134</f>
        <v>14922</v>
      </c>
      <c r="H28" s="56" t="s">
        <v>1275</v>
      </c>
      <c r="I28" s="37">
        <f t="shared" si="0"/>
        <v>0</v>
      </c>
    </row>
    <row r="29" spans="1:9" x14ac:dyDescent="0.25">
      <c r="A29" s="146" t="s">
        <v>442</v>
      </c>
      <c r="B29" s="105"/>
      <c r="C29" s="19" t="s">
        <v>830</v>
      </c>
      <c r="D29" s="37">
        <f>'Stavební rozpočet'!J154</f>
        <v>0</v>
      </c>
      <c r="E29" s="37">
        <f>'Stavební rozpočet'!K154</f>
        <v>0</v>
      </c>
      <c r="F29" s="37">
        <f>'Stavební rozpočet'!L154</f>
        <v>0</v>
      </c>
      <c r="G29" s="60">
        <f>'Stavební rozpočet'!N154</f>
        <v>14605</v>
      </c>
      <c r="H29" s="56" t="s">
        <v>1275</v>
      </c>
      <c r="I29" s="37">
        <f t="shared" si="0"/>
        <v>0</v>
      </c>
    </row>
    <row r="30" spans="1:9" x14ac:dyDescent="0.25">
      <c r="A30" s="146" t="s">
        <v>472</v>
      </c>
      <c r="B30" s="105"/>
      <c r="C30" s="19" t="s">
        <v>863</v>
      </c>
      <c r="D30" s="37">
        <f>'Stavební rozpočet'!J188</f>
        <v>0</v>
      </c>
      <c r="E30" s="37">
        <f>'Stavební rozpočet'!K188</f>
        <v>0</v>
      </c>
      <c r="F30" s="37">
        <f>'Stavební rozpočet'!L188</f>
        <v>0</v>
      </c>
      <c r="G30" s="60">
        <f>'Stavební rozpočet'!N188</f>
        <v>5948</v>
      </c>
      <c r="H30" s="56" t="s">
        <v>1275</v>
      </c>
      <c r="I30" s="37">
        <f t="shared" si="0"/>
        <v>0</v>
      </c>
    </row>
    <row r="31" spans="1:9" x14ac:dyDescent="0.25">
      <c r="A31" s="146" t="s">
        <v>490</v>
      </c>
      <c r="B31" s="105"/>
      <c r="C31" s="19" t="s">
        <v>884</v>
      </c>
      <c r="D31" s="37">
        <f>'Stavební rozpočet'!J213</f>
        <v>0</v>
      </c>
      <c r="E31" s="37">
        <f>'Stavební rozpočet'!K213</f>
        <v>0</v>
      </c>
      <c r="F31" s="37">
        <f>'Stavební rozpočet'!L213</f>
        <v>0</v>
      </c>
      <c r="G31" s="60">
        <f>'Stavební rozpočet'!N213</f>
        <v>22835</v>
      </c>
      <c r="H31" s="56" t="s">
        <v>1275</v>
      </c>
      <c r="I31" s="37">
        <f t="shared" si="0"/>
        <v>0</v>
      </c>
    </row>
    <row r="32" spans="1:9" x14ac:dyDescent="0.25">
      <c r="A32" s="146" t="s">
        <v>502</v>
      </c>
      <c r="B32" s="105"/>
      <c r="C32" s="19" t="s">
        <v>896</v>
      </c>
      <c r="D32" s="37">
        <f>'Stavební rozpočet'!J225</f>
        <v>0</v>
      </c>
      <c r="E32" s="37">
        <f>'Stavební rozpočet'!K225</f>
        <v>0</v>
      </c>
      <c r="F32" s="37">
        <f>'Stavební rozpočet'!L225</f>
        <v>0</v>
      </c>
      <c r="G32" s="60">
        <f>'Stavební rozpočet'!N225</f>
        <v>35680</v>
      </c>
      <c r="H32" s="56" t="s">
        <v>1275</v>
      </c>
      <c r="I32" s="37">
        <f t="shared" si="0"/>
        <v>0</v>
      </c>
    </row>
    <row r="33" spans="1:9" x14ac:dyDescent="0.25">
      <c r="A33" s="146" t="s">
        <v>533</v>
      </c>
      <c r="B33" s="105"/>
      <c r="C33" s="19" t="s">
        <v>933</v>
      </c>
      <c r="D33" s="37">
        <f>'Stavební rozpočet'!J263</f>
        <v>0</v>
      </c>
      <c r="E33" s="37">
        <f>'Stavební rozpočet'!K263</f>
        <v>0</v>
      </c>
      <c r="F33" s="37">
        <f>'Stavební rozpočet'!L263</f>
        <v>0</v>
      </c>
      <c r="G33" s="60">
        <f>'Stavební rozpočet'!N263</f>
        <v>298584</v>
      </c>
      <c r="H33" s="56" t="s">
        <v>1275</v>
      </c>
      <c r="I33" s="37">
        <f t="shared" si="0"/>
        <v>0</v>
      </c>
    </row>
    <row r="34" spans="1:9" x14ac:dyDescent="0.25">
      <c r="A34" s="146" t="s">
        <v>535</v>
      </c>
      <c r="B34" s="105"/>
      <c r="C34" s="19" t="s">
        <v>936</v>
      </c>
      <c r="D34" s="37">
        <f>'Stavební rozpočet'!J266</f>
        <v>0</v>
      </c>
      <c r="E34" s="37">
        <f>'Stavební rozpočet'!K266</f>
        <v>0</v>
      </c>
      <c r="F34" s="37">
        <f>'Stavební rozpočet'!L266</f>
        <v>0</v>
      </c>
      <c r="G34" s="60">
        <f>'Stavební rozpočet'!N266</f>
        <v>642</v>
      </c>
      <c r="H34" s="56" t="s">
        <v>1275</v>
      </c>
      <c r="I34" s="37">
        <f t="shared" si="0"/>
        <v>0</v>
      </c>
    </row>
    <row r="35" spans="1:9" x14ac:dyDescent="0.25">
      <c r="A35" s="146" t="s">
        <v>538</v>
      </c>
      <c r="B35" s="105"/>
      <c r="C35" s="19" t="s">
        <v>939</v>
      </c>
      <c r="D35" s="37">
        <f>'Stavební rozpočet'!J269</f>
        <v>0</v>
      </c>
      <c r="E35" s="37">
        <f>'Stavební rozpočet'!K269</f>
        <v>0</v>
      </c>
      <c r="F35" s="37">
        <f>'Stavební rozpočet'!L269</f>
        <v>0</v>
      </c>
      <c r="G35" s="60">
        <f>'Stavební rozpočet'!N269</f>
        <v>270</v>
      </c>
      <c r="H35" s="56" t="s">
        <v>1275</v>
      </c>
      <c r="I35" s="37">
        <f t="shared" si="0"/>
        <v>0</v>
      </c>
    </row>
    <row r="36" spans="1:9" x14ac:dyDescent="0.25">
      <c r="A36" s="146" t="s">
        <v>540</v>
      </c>
      <c r="B36" s="105"/>
      <c r="C36" s="19" t="s">
        <v>941</v>
      </c>
      <c r="D36" s="37">
        <f>'Stavební rozpočet'!J271</f>
        <v>0</v>
      </c>
      <c r="E36" s="37">
        <f>'Stavební rozpočet'!K271</f>
        <v>0</v>
      </c>
      <c r="F36" s="37">
        <f>'Stavební rozpočet'!L271</f>
        <v>0</v>
      </c>
      <c r="G36" s="60">
        <f>'Stavební rozpočet'!N271</f>
        <v>46341</v>
      </c>
      <c r="H36" s="56" t="s">
        <v>1275</v>
      </c>
      <c r="I36" s="37">
        <f t="shared" si="0"/>
        <v>0</v>
      </c>
    </row>
    <row r="37" spans="1:9" x14ac:dyDescent="0.25">
      <c r="A37" s="146" t="s">
        <v>553</v>
      </c>
      <c r="B37" s="105"/>
      <c r="C37" s="19" t="s">
        <v>960</v>
      </c>
      <c r="D37" s="37">
        <f>'Stavební rozpočet'!J296</f>
        <v>0</v>
      </c>
      <c r="E37" s="37">
        <f>'Stavební rozpočet'!K296</f>
        <v>0</v>
      </c>
      <c r="F37" s="37">
        <f>'Stavební rozpočet'!L296</f>
        <v>0</v>
      </c>
      <c r="G37" s="60">
        <f>'Stavební rozpočet'!N296</f>
        <v>41664.11</v>
      </c>
      <c r="H37" s="56" t="s">
        <v>1275</v>
      </c>
      <c r="I37" s="37">
        <f t="shared" si="0"/>
        <v>0</v>
      </c>
    </row>
    <row r="38" spans="1:9" x14ac:dyDescent="0.25">
      <c r="A38" s="146" t="s">
        <v>560</v>
      </c>
      <c r="B38" s="105"/>
      <c r="C38" s="19" t="s">
        <v>973</v>
      </c>
      <c r="D38" s="37">
        <f>'Stavební rozpočet'!J309</f>
        <v>0</v>
      </c>
      <c r="E38" s="37">
        <f>'Stavební rozpočet'!K309</f>
        <v>0</v>
      </c>
      <c r="F38" s="37">
        <f>'Stavební rozpočet'!L309</f>
        <v>0</v>
      </c>
      <c r="G38" s="60">
        <f>'Stavební rozpočet'!N309</f>
        <v>35201</v>
      </c>
      <c r="H38" s="56" t="s">
        <v>1275</v>
      </c>
      <c r="I38" s="37">
        <f t="shared" si="0"/>
        <v>0</v>
      </c>
    </row>
    <row r="39" spans="1:9" x14ac:dyDescent="0.25">
      <c r="A39" s="146" t="s">
        <v>102</v>
      </c>
      <c r="B39" s="105"/>
      <c r="C39" s="19" t="s">
        <v>978</v>
      </c>
      <c r="D39" s="37">
        <f>'Stavební rozpočet'!J314</f>
        <v>0</v>
      </c>
      <c r="E39" s="37">
        <f>'Stavební rozpočet'!K314</f>
        <v>0</v>
      </c>
      <c r="F39" s="37">
        <f>'Stavební rozpočet'!L314</f>
        <v>0</v>
      </c>
      <c r="G39" s="60">
        <f>'Stavební rozpočet'!N314</f>
        <v>1106.9000000000001</v>
      </c>
      <c r="H39" s="56" t="s">
        <v>1275</v>
      </c>
      <c r="I39" s="37">
        <f t="shared" si="0"/>
        <v>0</v>
      </c>
    </row>
    <row r="40" spans="1:9" x14ac:dyDescent="0.25">
      <c r="A40" s="146" t="s">
        <v>568</v>
      </c>
      <c r="B40" s="105"/>
      <c r="C40" s="19" t="s">
        <v>982</v>
      </c>
      <c r="D40" s="37">
        <f>'Stavební rozpočet'!J318</f>
        <v>0</v>
      </c>
      <c r="E40" s="37">
        <f>'Stavební rozpočet'!K318</f>
        <v>0</v>
      </c>
      <c r="F40" s="37">
        <f>'Stavební rozpočet'!L318</f>
        <v>0</v>
      </c>
      <c r="G40" s="60">
        <f>'Stavební rozpočet'!N318</f>
        <v>40368.199999999997</v>
      </c>
      <c r="H40" s="56" t="s">
        <v>1275</v>
      </c>
      <c r="I40" s="37">
        <f t="shared" si="0"/>
        <v>0</v>
      </c>
    </row>
    <row r="41" spans="1:9" x14ac:dyDescent="0.25">
      <c r="A41" s="146" t="s">
        <v>571</v>
      </c>
      <c r="B41" s="105"/>
      <c r="C41" s="19" t="s">
        <v>986</v>
      </c>
      <c r="D41" s="37">
        <f>'Stavební rozpočet'!J322</f>
        <v>0</v>
      </c>
      <c r="E41" s="37">
        <f>'Stavební rozpočet'!K322</f>
        <v>0</v>
      </c>
      <c r="F41" s="37">
        <f>'Stavební rozpočet'!L322</f>
        <v>0</v>
      </c>
      <c r="G41" s="60">
        <f>'Stavební rozpočet'!N322</f>
        <v>971</v>
      </c>
      <c r="H41" s="56" t="s">
        <v>1275</v>
      </c>
      <c r="I41" s="37">
        <f t="shared" si="0"/>
        <v>0</v>
      </c>
    </row>
    <row r="42" spans="1:9" x14ac:dyDescent="0.25">
      <c r="A42" s="146" t="s">
        <v>97</v>
      </c>
      <c r="B42" s="105"/>
      <c r="C42" s="19" t="s">
        <v>989</v>
      </c>
      <c r="D42" s="37">
        <f>'Stavební rozpočet'!J325</f>
        <v>0</v>
      </c>
      <c r="E42" s="37">
        <f>'Stavební rozpočet'!K325</f>
        <v>0</v>
      </c>
      <c r="F42" s="37">
        <f>'Stavební rozpočet'!L325</f>
        <v>0</v>
      </c>
      <c r="G42" s="60">
        <f>'Stavební rozpočet'!N325</f>
        <v>16651</v>
      </c>
      <c r="H42" s="56" t="s">
        <v>1275</v>
      </c>
      <c r="I42" s="37">
        <f t="shared" si="0"/>
        <v>0</v>
      </c>
    </row>
    <row r="43" spans="1:9" x14ac:dyDescent="0.25">
      <c r="A43" s="146" t="s">
        <v>99</v>
      </c>
      <c r="B43" s="105"/>
      <c r="C43" s="19" t="s">
        <v>992</v>
      </c>
      <c r="D43" s="37">
        <f>'Stavební rozpočet'!J328</f>
        <v>0</v>
      </c>
      <c r="E43" s="37">
        <f>'Stavební rozpočet'!K328</f>
        <v>0</v>
      </c>
      <c r="F43" s="37">
        <f>'Stavební rozpočet'!L328</f>
        <v>0</v>
      </c>
      <c r="G43" s="60">
        <f>'Stavební rozpočet'!N328</f>
        <v>1980</v>
      </c>
      <c r="H43" s="56" t="s">
        <v>1275</v>
      </c>
      <c r="I43" s="37">
        <f t="shared" ref="I43:I66" si="1">IF(G43="F",0,F43)</f>
        <v>0</v>
      </c>
    </row>
    <row r="44" spans="1:9" x14ac:dyDescent="0.25">
      <c r="A44" s="146" t="s">
        <v>103</v>
      </c>
      <c r="B44" s="105"/>
      <c r="C44" s="19" t="s">
        <v>996</v>
      </c>
      <c r="D44" s="37">
        <f>'Stavební rozpočet'!J332</f>
        <v>0</v>
      </c>
      <c r="E44" s="37">
        <f>'Stavební rozpočet'!K332</f>
        <v>0</v>
      </c>
      <c r="F44" s="37">
        <f>'Stavební rozpočet'!L332</f>
        <v>0</v>
      </c>
      <c r="G44" s="60">
        <f>'Stavební rozpočet'!N332</f>
        <v>4014</v>
      </c>
      <c r="H44" s="56" t="s">
        <v>1275</v>
      </c>
      <c r="I44" s="37">
        <f t="shared" si="1"/>
        <v>0</v>
      </c>
    </row>
    <row r="45" spans="1:9" x14ac:dyDescent="0.25">
      <c r="A45" s="146" t="s">
        <v>582</v>
      </c>
      <c r="B45" s="105"/>
      <c r="C45" s="19" t="s">
        <v>1002</v>
      </c>
      <c r="D45" s="37">
        <f>'Stavební rozpočet'!J338</f>
        <v>0</v>
      </c>
      <c r="E45" s="37">
        <f>'Stavební rozpočet'!K338</f>
        <v>0</v>
      </c>
      <c r="F45" s="37">
        <f>'Stavební rozpočet'!L338</f>
        <v>0</v>
      </c>
      <c r="G45" s="60">
        <f>'Stavební rozpočet'!N338</f>
        <v>949.19999999999993</v>
      </c>
      <c r="H45" s="56" t="s">
        <v>1275</v>
      </c>
      <c r="I45" s="37">
        <f t="shared" si="1"/>
        <v>0</v>
      </c>
    </row>
    <row r="46" spans="1:9" x14ac:dyDescent="0.25">
      <c r="A46" s="146" t="s">
        <v>584</v>
      </c>
      <c r="B46" s="105"/>
      <c r="C46" s="19" t="s">
        <v>1004</v>
      </c>
      <c r="D46" s="37">
        <f>'Stavební rozpočet'!J340</f>
        <v>0</v>
      </c>
      <c r="E46" s="37">
        <f>'Stavební rozpočet'!K340</f>
        <v>0</v>
      </c>
      <c r="F46" s="37">
        <f>'Stavební rozpočet'!L340</f>
        <v>0</v>
      </c>
      <c r="G46" s="60">
        <f>'Stavební rozpočet'!N340</f>
        <v>682</v>
      </c>
      <c r="H46" s="56" t="s">
        <v>1275</v>
      </c>
      <c r="I46" s="37">
        <f t="shared" si="1"/>
        <v>0</v>
      </c>
    </row>
    <row r="47" spans="1:9" x14ac:dyDescent="0.25">
      <c r="A47" s="146" t="s">
        <v>586</v>
      </c>
      <c r="B47" s="105"/>
      <c r="C47" s="19" t="s">
        <v>1006</v>
      </c>
      <c r="D47" s="37">
        <f>'Stavební rozpočet'!J342</f>
        <v>0</v>
      </c>
      <c r="E47" s="37">
        <f>'Stavební rozpočet'!K342</f>
        <v>0</v>
      </c>
      <c r="F47" s="37">
        <f>'Stavební rozpočet'!L342</f>
        <v>0</v>
      </c>
      <c r="G47" s="60">
        <f>'Stavební rozpočet'!N342</f>
        <v>514.5</v>
      </c>
      <c r="H47" s="56" t="s">
        <v>1275</v>
      </c>
      <c r="I47" s="37">
        <f t="shared" si="1"/>
        <v>0</v>
      </c>
    </row>
    <row r="48" spans="1:9" x14ac:dyDescent="0.25">
      <c r="A48" s="146" t="s">
        <v>588</v>
      </c>
      <c r="B48" s="105"/>
      <c r="C48" s="19" t="s">
        <v>1008</v>
      </c>
      <c r="D48" s="37">
        <f>'Stavební rozpočet'!J344</f>
        <v>0</v>
      </c>
      <c r="E48" s="37">
        <f>'Stavební rozpočet'!K344</f>
        <v>0</v>
      </c>
      <c r="F48" s="37">
        <f>'Stavební rozpočet'!L344</f>
        <v>0</v>
      </c>
      <c r="G48" s="60">
        <f>'Stavební rozpočet'!N344</f>
        <v>6382.5</v>
      </c>
      <c r="H48" s="56" t="s">
        <v>1275</v>
      </c>
      <c r="I48" s="37">
        <f t="shared" si="1"/>
        <v>0</v>
      </c>
    </row>
    <row r="49" spans="1:9" x14ac:dyDescent="0.25">
      <c r="A49" s="146" t="s">
        <v>590</v>
      </c>
      <c r="B49" s="105"/>
      <c r="C49" s="19" t="s">
        <v>1010</v>
      </c>
      <c r="D49" s="37">
        <f>'Stavební rozpočet'!J346</f>
        <v>0</v>
      </c>
      <c r="E49" s="37">
        <f>'Stavební rozpočet'!K346</f>
        <v>0</v>
      </c>
      <c r="F49" s="37">
        <f>'Stavební rozpočet'!L346</f>
        <v>0</v>
      </c>
      <c r="G49" s="60">
        <f>'Stavební rozpočet'!N346</f>
        <v>3296.5</v>
      </c>
      <c r="H49" s="56" t="s">
        <v>1275</v>
      </c>
      <c r="I49" s="37">
        <f t="shared" si="1"/>
        <v>0</v>
      </c>
    </row>
    <row r="50" spans="1:9" x14ac:dyDescent="0.25">
      <c r="A50" s="146" t="s">
        <v>592</v>
      </c>
      <c r="B50" s="105"/>
      <c r="C50" s="19" t="s">
        <v>1012</v>
      </c>
      <c r="D50" s="37">
        <f>'Stavební rozpočet'!J348</f>
        <v>0</v>
      </c>
      <c r="E50" s="37">
        <f>'Stavební rozpočet'!K348</f>
        <v>0</v>
      </c>
      <c r="F50" s="37">
        <f>'Stavební rozpočet'!L348</f>
        <v>0</v>
      </c>
      <c r="G50" s="60">
        <f>'Stavební rozpočet'!N348</f>
        <v>69.8</v>
      </c>
      <c r="H50" s="56" t="s">
        <v>1275</v>
      </c>
      <c r="I50" s="37">
        <f t="shared" si="1"/>
        <v>0</v>
      </c>
    </row>
    <row r="51" spans="1:9" x14ac:dyDescent="0.25">
      <c r="A51" s="146" t="s">
        <v>594</v>
      </c>
      <c r="B51" s="105"/>
      <c r="C51" s="19" t="s">
        <v>1014</v>
      </c>
      <c r="D51" s="37">
        <f>'Stavební rozpočet'!J350</f>
        <v>0</v>
      </c>
      <c r="E51" s="37">
        <f>'Stavební rozpočet'!K350</f>
        <v>0</v>
      </c>
      <c r="F51" s="37">
        <f>'Stavební rozpočet'!L350</f>
        <v>0</v>
      </c>
      <c r="G51" s="60">
        <f>'Stavební rozpočet'!N350</f>
        <v>70.2</v>
      </c>
      <c r="H51" s="56" t="s">
        <v>1275</v>
      </c>
      <c r="I51" s="37">
        <f t="shared" si="1"/>
        <v>0</v>
      </c>
    </row>
    <row r="52" spans="1:9" x14ac:dyDescent="0.25">
      <c r="A52" s="146" t="s">
        <v>596</v>
      </c>
      <c r="B52" s="105"/>
      <c r="C52" s="19" t="s">
        <v>1016</v>
      </c>
      <c r="D52" s="37">
        <f>'Stavební rozpočet'!J352</f>
        <v>0</v>
      </c>
      <c r="E52" s="37">
        <f>'Stavební rozpočet'!K352</f>
        <v>0</v>
      </c>
      <c r="F52" s="37">
        <f>'Stavební rozpočet'!L352</f>
        <v>0</v>
      </c>
      <c r="G52" s="60">
        <f>'Stavební rozpočet'!N352</f>
        <v>35.300000000000004</v>
      </c>
      <c r="H52" s="56" t="s">
        <v>1275</v>
      </c>
      <c r="I52" s="37">
        <f t="shared" si="1"/>
        <v>0</v>
      </c>
    </row>
    <row r="53" spans="1:9" x14ac:dyDescent="0.25">
      <c r="A53" s="146" t="s">
        <v>598</v>
      </c>
      <c r="B53" s="105"/>
      <c r="C53" s="19" t="s">
        <v>791</v>
      </c>
      <c r="D53" s="37">
        <f>'Stavební rozpočet'!J354</f>
        <v>0</v>
      </c>
      <c r="E53" s="37">
        <f>'Stavební rozpočet'!K354</f>
        <v>0</v>
      </c>
      <c r="F53" s="37">
        <f>'Stavební rozpočet'!L354</f>
        <v>0</v>
      </c>
      <c r="G53" s="60">
        <f>'Stavební rozpočet'!N354</f>
        <v>35.5</v>
      </c>
      <c r="H53" s="56" t="s">
        <v>1275</v>
      </c>
      <c r="I53" s="37">
        <f t="shared" si="1"/>
        <v>0</v>
      </c>
    </row>
    <row r="54" spans="1:9" x14ac:dyDescent="0.25">
      <c r="A54" s="146" t="s">
        <v>600</v>
      </c>
      <c r="B54" s="105"/>
      <c r="C54" s="19" t="s">
        <v>798</v>
      </c>
      <c r="D54" s="37">
        <f>'Stavební rozpočet'!J356</f>
        <v>0</v>
      </c>
      <c r="E54" s="37">
        <f>'Stavební rozpočet'!K356</f>
        <v>0</v>
      </c>
      <c r="F54" s="37">
        <f>'Stavební rozpočet'!L356</f>
        <v>0</v>
      </c>
      <c r="G54" s="60">
        <f>'Stavební rozpočet'!N356</f>
        <v>35.700000000000003</v>
      </c>
      <c r="H54" s="56" t="s">
        <v>1275</v>
      </c>
      <c r="I54" s="37">
        <f t="shared" si="1"/>
        <v>0</v>
      </c>
    </row>
    <row r="55" spans="1:9" x14ac:dyDescent="0.25">
      <c r="A55" s="146" t="s">
        <v>602</v>
      </c>
      <c r="B55" s="105"/>
      <c r="C55" s="19" t="s">
        <v>811</v>
      </c>
      <c r="D55" s="37">
        <f>'Stavební rozpočet'!J358</f>
        <v>0</v>
      </c>
      <c r="E55" s="37">
        <f>'Stavební rozpočet'!K358</f>
        <v>0</v>
      </c>
      <c r="F55" s="37">
        <f>'Stavební rozpočet'!L358</f>
        <v>0</v>
      </c>
      <c r="G55" s="60">
        <f>'Stavební rozpočet'!N358</f>
        <v>107.7</v>
      </c>
      <c r="H55" s="56" t="s">
        <v>1275</v>
      </c>
      <c r="I55" s="37">
        <f t="shared" si="1"/>
        <v>0</v>
      </c>
    </row>
    <row r="56" spans="1:9" x14ac:dyDescent="0.25">
      <c r="A56" s="146" t="s">
        <v>604</v>
      </c>
      <c r="B56" s="105"/>
      <c r="C56" s="19" t="s">
        <v>830</v>
      </c>
      <c r="D56" s="37">
        <f>'Stavební rozpočet'!J360</f>
        <v>0</v>
      </c>
      <c r="E56" s="37">
        <f>'Stavební rozpočet'!K360</f>
        <v>0</v>
      </c>
      <c r="F56" s="37">
        <f>'Stavební rozpočet'!L360</f>
        <v>0</v>
      </c>
      <c r="G56" s="60">
        <f>'Stavební rozpočet'!N360</f>
        <v>1010.8</v>
      </c>
      <c r="H56" s="56" t="s">
        <v>1275</v>
      </c>
      <c r="I56" s="37">
        <f t="shared" si="1"/>
        <v>0</v>
      </c>
    </row>
    <row r="57" spans="1:9" x14ac:dyDescent="0.25">
      <c r="A57" s="146" t="s">
        <v>606</v>
      </c>
      <c r="B57" s="105"/>
      <c r="C57" s="19" t="s">
        <v>863</v>
      </c>
      <c r="D57" s="37">
        <f>'Stavební rozpočet'!J362</f>
        <v>0</v>
      </c>
      <c r="E57" s="37">
        <f>'Stavební rozpočet'!K362</f>
        <v>0</v>
      </c>
      <c r="F57" s="37">
        <f>'Stavební rozpočet'!L362</f>
        <v>0</v>
      </c>
      <c r="G57" s="60">
        <f>'Stavební rozpočet'!N362</f>
        <v>508.2</v>
      </c>
      <c r="H57" s="56" t="s">
        <v>1275</v>
      </c>
      <c r="I57" s="37">
        <f t="shared" si="1"/>
        <v>0</v>
      </c>
    </row>
    <row r="58" spans="1:9" x14ac:dyDescent="0.25">
      <c r="A58" s="146" t="s">
        <v>608</v>
      </c>
      <c r="B58" s="105"/>
      <c r="C58" s="19" t="s">
        <v>884</v>
      </c>
      <c r="D58" s="37">
        <f>'Stavební rozpočet'!J364</f>
        <v>0</v>
      </c>
      <c r="E58" s="37">
        <f>'Stavební rozpočet'!K364</f>
        <v>0</v>
      </c>
      <c r="F58" s="37">
        <f>'Stavební rozpočet'!L364</f>
        <v>0</v>
      </c>
      <c r="G58" s="60">
        <f>'Stavební rozpočet'!N364</f>
        <v>401.50000000000006</v>
      </c>
      <c r="H58" s="56" t="s">
        <v>1275</v>
      </c>
      <c r="I58" s="37">
        <f t="shared" si="1"/>
        <v>0</v>
      </c>
    </row>
    <row r="59" spans="1:9" x14ac:dyDescent="0.25">
      <c r="A59" s="146" t="s">
        <v>610</v>
      </c>
      <c r="B59" s="105"/>
      <c r="C59" s="19" t="s">
        <v>896</v>
      </c>
      <c r="D59" s="37">
        <f>'Stavební rozpočet'!J366</f>
        <v>0</v>
      </c>
      <c r="E59" s="37">
        <f>'Stavební rozpočet'!K366</f>
        <v>0</v>
      </c>
      <c r="F59" s="37">
        <f>'Stavební rozpočet'!L366</f>
        <v>0</v>
      </c>
      <c r="G59" s="60">
        <f>'Stavební rozpočet'!N366</f>
        <v>73.400000000000006</v>
      </c>
      <c r="H59" s="56" t="s">
        <v>1275</v>
      </c>
      <c r="I59" s="37">
        <f t="shared" si="1"/>
        <v>0</v>
      </c>
    </row>
    <row r="60" spans="1:9" x14ac:dyDescent="0.25">
      <c r="A60" s="146" t="s">
        <v>612</v>
      </c>
      <c r="B60" s="105"/>
      <c r="C60" s="19" t="s">
        <v>1025</v>
      </c>
      <c r="D60" s="37">
        <f>'Stavební rozpočet'!J368</f>
        <v>0</v>
      </c>
      <c r="E60" s="37">
        <f>'Stavební rozpočet'!K368</f>
        <v>0</v>
      </c>
      <c r="F60" s="37">
        <f>'Stavební rozpočet'!L368</f>
        <v>0</v>
      </c>
      <c r="G60" s="60">
        <f>'Stavební rozpočet'!N368</f>
        <v>11568.3</v>
      </c>
      <c r="H60" s="56" t="s">
        <v>1275</v>
      </c>
      <c r="I60" s="37">
        <f t="shared" si="1"/>
        <v>0</v>
      </c>
    </row>
    <row r="61" spans="1:9" x14ac:dyDescent="0.25">
      <c r="A61" s="146" t="s">
        <v>616</v>
      </c>
      <c r="B61" s="105"/>
      <c r="C61" s="19" t="s">
        <v>1029</v>
      </c>
      <c r="D61" s="37">
        <f>'Stavební rozpočet'!J372</f>
        <v>0</v>
      </c>
      <c r="E61" s="37">
        <f>'Stavební rozpočet'!K372</f>
        <v>0</v>
      </c>
      <c r="F61" s="37">
        <f>'Stavební rozpočet'!L372</f>
        <v>0</v>
      </c>
      <c r="G61" s="60">
        <f>'Stavební rozpočet'!N372</f>
        <v>2626</v>
      </c>
      <c r="H61" s="56" t="s">
        <v>1275</v>
      </c>
      <c r="I61" s="37">
        <f t="shared" si="1"/>
        <v>0</v>
      </c>
    </row>
    <row r="62" spans="1:9" x14ac:dyDescent="0.25">
      <c r="A62" s="146" t="s">
        <v>623</v>
      </c>
      <c r="B62" s="105"/>
      <c r="C62" s="19" t="s">
        <v>1036</v>
      </c>
      <c r="D62" s="37">
        <f>'Stavební rozpočet'!J379</f>
        <v>0</v>
      </c>
      <c r="E62" s="37">
        <f>'Stavební rozpočet'!K379</f>
        <v>0</v>
      </c>
      <c r="F62" s="37">
        <f>'Stavební rozpočet'!L379</f>
        <v>0</v>
      </c>
      <c r="G62" s="60">
        <f>'Stavební rozpočet'!N379</f>
        <v>151893</v>
      </c>
      <c r="H62" s="56" t="s">
        <v>1275</v>
      </c>
      <c r="I62" s="37">
        <f t="shared" si="1"/>
        <v>0</v>
      </c>
    </row>
    <row r="63" spans="1:9" x14ac:dyDescent="0.25">
      <c r="A63" s="146" t="s">
        <v>654</v>
      </c>
      <c r="B63" s="105"/>
      <c r="C63" s="19" t="s">
        <v>1073</v>
      </c>
      <c r="D63" s="37">
        <f>'Stavební rozpočet'!J419</f>
        <v>0</v>
      </c>
      <c r="E63" s="37">
        <f>'Stavební rozpočet'!K419</f>
        <v>0</v>
      </c>
      <c r="F63" s="37">
        <f>'Stavební rozpočet'!L419</f>
        <v>0</v>
      </c>
      <c r="G63" s="60">
        <f>'Stavební rozpočet'!N419</f>
        <v>36839.32</v>
      </c>
      <c r="H63" s="56" t="s">
        <v>1275</v>
      </c>
      <c r="I63" s="37">
        <f t="shared" si="1"/>
        <v>0</v>
      </c>
    </row>
    <row r="64" spans="1:9" x14ac:dyDescent="0.25">
      <c r="A64" s="146" t="s">
        <v>667</v>
      </c>
      <c r="B64" s="105"/>
      <c r="C64" s="19" t="s">
        <v>1089</v>
      </c>
      <c r="D64" s="37">
        <f>'Stavební rozpočet'!J436</f>
        <v>0</v>
      </c>
      <c r="E64" s="37">
        <f>'Stavební rozpočet'!K436</f>
        <v>0</v>
      </c>
      <c r="F64" s="37">
        <f>'Stavební rozpočet'!L436</f>
        <v>0</v>
      </c>
      <c r="G64" s="60">
        <f>'Stavební rozpočet'!N436</f>
        <v>61247.46</v>
      </c>
      <c r="H64" s="56" t="s">
        <v>1275</v>
      </c>
      <c r="I64" s="37">
        <f t="shared" si="1"/>
        <v>0</v>
      </c>
    </row>
    <row r="65" spans="1:9" x14ac:dyDescent="0.25">
      <c r="A65" s="146" t="s">
        <v>680</v>
      </c>
      <c r="B65" s="105"/>
      <c r="C65" s="19" t="s">
        <v>1103</v>
      </c>
      <c r="D65" s="37">
        <f>'Stavební rozpočet'!J454</f>
        <v>0</v>
      </c>
      <c r="E65" s="37">
        <f>'Stavební rozpočet'!K454</f>
        <v>0</v>
      </c>
      <c r="F65" s="37">
        <f>'Stavební rozpočet'!L454</f>
        <v>0</v>
      </c>
      <c r="G65" s="60">
        <f>'Stavební rozpočet'!N454</f>
        <v>3662</v>
      </c>
      <c r="H65" s="56" t="s">
        <v>1275</v>
      </c>
      <c r="I65" s="37">
        <f t="shared" si="1"/>
        <v>0</v>
      </c>
    </row>
    <row r="66" spans="1:9" x14ac:dyDescent="0.25">
      <c r="A66" s="147" t="s">
        <v>688</v>
      </c>
      <c r="B66" s="148"/>
      <c r="C66" s="52" t="s">
        <v>1111</v>
      </c>
      <c r="D66" s="58">
        <f>'Stavební rozpočet'!J462</f>
        <v>0</v>
      </c>
      <c r="E66" s="58">
        <f>'Stavební rozpočet'!K462</f>
        <v>0</v>
      </c>
      <c r="F66" s="58">
        <f>'Stavební rozpočet'!L462</f>
        <v>0</v>
      </c>
      <c r="G66" s="61">
        <f>'Stavební rozpočet'!N462</f>
        <v>5562</v>
      </c>
      <c r="H66" s="56" t="s">
        <v>1275</v>
      </c>
      <c r="I66" s="37">
        <f t="shared" si="1"/>
        <v>0</v>
      </c>
    </row>
    <row r="67" spans="1:9" x14ac:dyDescent="0.25">
      <c r="A67" s="9"/>
      <c r="B67" s="9"/>
      <c r="C67" s="9"/>
      <c r="D67" s="9"/>
      <c r="E67" s="31" t="s">
        <v>1180</v>
      </c>
      <c r="F67" s="44">
        <f>ROUND(SUM(H11:H66),0)</f>
        <v>0</v>
      </c>
      <c r="G67" s="9"/>
    </row>
  </sheetData>
  <mergeCells count="82">
    <mergeCell ref="A64:B64"/>
    <mergeCell ref="A65:B65"/>
    <mergeCell ref="A66:B66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8:B9"/>
    <mergeCell ref="C8:C9"/>
    <mergeCell ref="D8:D9"/>
    <mergeCell ref="E8:E9"/>
    <mergeCell ref="F8:F9"/>
    <mergeCell ref="G8:G9"/>
    <mergeCell ref="A6:B7"/>
    <mergeCell ref="C6:C7"/>
    <mergeCell ref="D6:D7"/>
    <mergeCell ref="E6:E7"/>
    <mergeCell ref="F6:F7"/>
    <mergeCell ref="G6:G7"/>
    <mergeCell ref="A4:B5"/>
    <mergeCell ref="C4:C5"/>
    <mergeCell ref="D4:D5"/>
    <mergeCell ref="E4:E5"/>
    <mergeCell ref="F4:F5"/>
    <mergeCell ref="G4:G5"/>
    <mergeCell ref="A1:G1"/>
    <mergeCell ref="A2:B3"/>
    <mergeCell ref="C2:C3"/>
    <mergeCell ref="D2:D3"/>
    <mergeCell ref="E2:E3"/>
    <mergeCell ref="F2:F3"/>
    <mergeCell ref="G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6"/>
  <sheetViews>
    <sheetView workbookViewId="0">
      <pane ySplit="10" topLeftCell="A11" activePane="bottomLeft" state="frozenSplit"/>
      <selection pane="bottomLeft" activeCell="A11" sqref="A11"/>
    </sheetView>
  </sheetViews>
  <sheetFormatPr defaultColWidth="11.5546875" defaultRowHeight="13.2" x14ac:dyDescent="0.25"/>
  <cols>
    <col min="1" max="1" width="17.88671875" customWidth="1"/>
    <col min="2" max="2" width="17.33203125" customWidth="1"/>
    <col min="3" max="3" width="68.77734375" customWidth="1"/>
    <col min="4" max="4" width="37.6640625" customWidth="1"/>
    <col min="5" max="5" width="17.33203125" customWidth="1"/>
    <col min="6" max="6" width="15.77734375" customWidth="1"/>
    <col min="7" max="7" width="18.109375" customWidth="1"/>
  </cols>
  <sheetData>
    <row r="1" spans="1:8" ht="73.05" customHeight="1" x14ac:dyDescent="0.4">
      <c r="A1" s="100" t="s">
        <v>1276</v>
      </c>
      <c r="B1" s="101"/>
      <c r="C1" s="101"/>
      <c r="D1" s="101"/>
      <c r="E1" s="101"/>
      <c r="F1" s="101"/>
      <c r="G1" s="101"/>
    </row>
    <row r="2" spans="1:8" x14ac:dyDescent="0.25">
      <c r="A2" s="102" t="s">
        <v>1</v>
      </c>
      <c r="B2" s="106" t="str">
        <f>'Stavební rozpočet'!C2</f>
        <v>Plynová kotelna pro vytápění ZŠ Doubrava</v>
      </c>
      <c r="C2" s="139"/>
      <c r="D2" s="109" t="s">
        <v>1121</v>
      </c>
      <c r="E2" s="109" t="str">
        <f>'Stavební rozpočet'!G2</f>
        <v>Obec Doubrava,Doubrava č.p. 599, 735 33 Doubrava_x000D_</v>
      </c>
      <c r="F2" s="103"/>
      <c r="G2" s="110"/>
      <c r="H2" s="5"/>
    </row>
    <row r="3" spans="1:8" x14ac:dyDescent="0.25">
      <c r="A3" s="104"/>
      <c r="B3" s="107"/>
      <c r="C3" s="107"/>
      <c r="D3" s="105"/>
      <c r="E3" s="105"/>
      <c r="F3" s="105"/>
      <c r="G3" s="111"/>
      <c r="H3" s="5"/>
    </row>
    <row r="4" spans="1:8" x14ac:dyDescent="0.25">
      <c r="A4" s="112" t="s">
        <v>2</v>
      </c>
      <c r="B4" s="113" t="str">
        <f>'Stavební rozpočet'!C4</f>
        <v>Občanská vybavenost</v>
      </c>
      <c r="C4" s="105"/>
      <c r="D4" s="113" t="s">
        <v>1122</v>
      </c>
      <c r="E4" s="113" t="str">
        <f>'Stavební rozpočet'!G4</f>
        <v>Ing. Stanislav Wilczek</v>
      </c>
      <c r="F4" s="105"/>
      <c r="G4" s="111"/>
      <c r="H4" s="5"/>
    </row>
    <row r="5" spans="1:8" x14ac:dyDescent="0.25">
      <c r="A5" s="104"/>
      <c r="B5" s="105"/>
      <c r="C5" s="105"/>
      <c r="D5" s="105"/>
      <c r="E5" s="105"/>
      <c r="F5" s="105"/>
      <c r="G5" s="111"/>
      <c r="H5" s="5"/>
    </row>
    <row r="6" spans="1:8" x14ac:dyDescent="0.25">
      <c r="A6" s="112" t="s">
        <v>3</v>
      </c>
      <c r="B6" s="113" t="str">
        <f>'Stavební rozpočet'!C6</f>
        <v>Obec Doubrava, č.p. 546,  735 33 Doubrava</v>
      </c>
      <c r="C6" s="105"/>
      <c r="D6" s="113" t="s">
        <v>1123</v>
      </c>
      <c r="E6" s="113" t="str">
        <f>'Stavební rozpočet'!G6</f>
        <v> </v>
      </c>
      <c r="F6" s="105"/>
      <c r="G6" s="111"/>
      <c r="H6" s="5"/>
    </row>
    <row r="7" spans="1:8" x14ac:dyDescent="0.25">
      <c r="A7" s="104"/>
      <c r="B7" s="105"/>
      <c r="C7" s="105"/>
      <c r="D7" s="105"/>
      <c r="E7" s="105"/>
      <c r="F7" s="105"/>
      <c r="G7" s="111"/>
      <c r="H7" s="5"/>
    </row>
    <row r="8" spans="1:8" x14ac:dyDescent="0.25">
      <c r="A8" s="112" t="s">
        <v>1124</v>
      </c>
      <c r="B8" s="113" t="str">
        <f>'Stavební rozpočet'!G8</f>
        <v>Ing. Stanislav Wilczek</v>
      </c>
      <c r="C8" s="105"/>
      <c r="D8" s="113" t="s">
        <v>1117</v>
      </c>
      <c r="E8" s="113" t="str">
        <f>'Stavební rozpočet'!E8</f>
        <v>18.12.2021</v>
      </c>
      <c r="F8" s="105"/>
      <c r="G8" s="111"/>
      <c r="H8" s="5"/>
    </row>
    <row r="9" spans="1:8" x14ac:dyDescent="0.25">
      <c r="A9" s="115"/>
      <c r="B9" s="116"/>
      <c r="C9" s="116"/>
      <c r="D9" s="116"/>
      <c r="E9" s="116"/>
      <c r="F9" s="116"/>
      <c r="G9" s="117"/>
      <c r="H9" s="5"/>
    </row>
    <row r="10" spans="1:8" x14ac:dyDescent="0.25">
      <c r="A10" s="62" t="s">
        <v>5</v>
      </c>
      <c r="B10" s="50" t="s">
        <v>343</v>
      </c>
      <c r="C10" s="149" t="s">
        <v>694</v>
      </c>
      <c r="D10" s="143"/>
      <c r="E10" s="50" t="s">
        <v>1162</v>
      </c>
      <c r="F10" s="66" t="s">
        <v>1175</v>
      </c>
      <c r="G10" s="69" t="s">
        <v>1277</v>
      </c>
      <c r="H10" s="55"/>
    </row>
    <row r="11" spans="1:8" x14ac:dyDescent="0.25">
      <c r="A11" s="63"/>
      <c r="B11" s="13" t="s">
        <v>17</v>
      </c>
      <c r="C11" s="128" t="s">
        <v>696</v>
      </c>
      <c r="D11" s="129"/>
      <c r="E11" s="13"/>
      <c r="F11" s="42"/>
      <c r="G11" s="70"/>
      <c r="H11" s="5"/>
    </row>
    <row r="12" spans="1:8" x14ac:dyDescent="0.25">
      <c r="A12" s="4" t="s">
        <v>7</v>
      </c>
      <c r="B12" s="14" t="s">
        <v>344</v>
      </c>
      <c r="C12" s="130" t="s">
        <v>697</v>
      </c>
      <c r="D12" s="131"/>
      <c r="E12" s="14" t="s">
        <v>1163</v>
      </c>
      <c r="F12" s="24">
        <v>5</v>
      </c>
      <c r="G12" s="46">
        <v>0</v>
      </c>
      <c r="H12" s="5"/>
    </row>
    <row r="13" spans="1:8" ht="12.15" customHeight="1" x14ac:dyDescent="0.25">
      <c r="A13" s="4"/>
      <c r="B13" s="14"/>
      <c r="C13" s="65"/>
      <c r="D13" s="150" t="s">
        <v>1125</v>
      </c>
      <c r="E13" s="150"/>
      <c r="F13" s="67">
        <v>0</v>
      </c>
      <c r="G13" s="71"/>
      <c r="H13" s="5"/>
    </row>
    <row r="14" spans="1:8" x14ac:dyDescent="0.25">
      <c r="A14" s="4" t="s">
        <v>8</v>
      </c>
      <c r="B14" s="14" t="s">
        <v>345</v>
      </c>
      <c r="C14" s="130" t="s">
        <v>698</v>
      </c>
      <c r="D14" s="131"/>
      <c r="E14" s="14" t="s">
        <v>1164</v>
      </c>
      <c r="F14" s="24">
        <v>0.01</v>
      </c>
      <c r="G14" s="46">
        <v>0</v>
      </c>
      <c r="H14" s="5"/>
    </row>
    <row r="15" spans="1:8" x14ac:dyDescent="0.25">
      <c r="A15" s="4" t="s">
        <v>9</v>
      </c>
      <c r="B15" s="14" t="s">
        <v>346</v>
      </c>
      <c r="C15" s="130" t="s">
        <v>699</v>
      </c>
      <c r="D15" s="131"/>
      <c r="E15" s="14" t="s">
        <v>1165</v>
      </c>
      <c r="F15" s="24">
        <v>14</v>
      </c>
      <c r="G15" s="46">
        <v>0</v>
      </c>
      <c r="H15" s="5"/>
    </row>
    <row r="16" spans="1:8" x14ac:dyDescent="0.25">
      <c r="A16" s="64"/>
      <c r="B16" s="15" t="s">
        <v>347</v>
      </c>
      <c r="C16" s="132" t="s">
        <v>700</v>
      </c>
      <c r="D16" s="133"/>
      <c r="E16" s="15"/>
      <c r="F16" s="43"/>
      <c r="G16" s="72"/>
      <c r="H16" s="5"/>
    </row>
    <row r="17" spans="1:8" x14ac:dyDescent="0.25">
      <c r="A17" s="4" t="s">
        <v>10</v>
      </c>
      <c r="B17" s="14" t="s">
        <v>348</v>
      </c>
      <c r="C17" s="130" t="s">
        <v>701</v>
      </c>
      <c r="D17" s="131"/>
      <c r="E17" s="14" t="s">
        <v>1166</v>
      </c>
      <c r="F17" s="24">
        <v>16</v>
      </c>
      <c r="G17" s="46">
        <v>0</v>
      </c>
      <c r="H17" s="5"/>
    </row>
    <row r="18" spans="1:8" x14ac:dyDescent="0.25">
      <c r="A18" s="64"/>
      <c r="B18" s="15" t="s">
        <v>18</v>
      </c>
      <c r="C18" s="132" t="s">
        <v>702</v>
      </c>
      <c r="D18" s="133"/>
      <c r="E18" s="15"/>
      <c r="F18" s="43"/>
      <c r="G18" s="72"/>
      <c r="H18" s="5"/>
    </row>
    <row r="19" spans="1:8" x14ac:dyDescent="0.25">
      <c r="A19" s="4" t="s">
        <v>11</v>
      </c>
      <c r="B19" s="14" t="s">
        <v>349</v>
      </c>
      <c r="C19" s="130" t="s">
        <v>703</v>
      </c>
      <c r="D19" s="131"/>
      <c r="E19" s="14" t="s">
        <v>1167</v>
      </c>
      <c r="F19" s="24">
        <v>10.210000000000001</v>
      </c>
      <c r="G19" s="46">
        <v>0</v>
      </c>
      <c r="H19" s="5"/>
    </row>
    <row r="20" spans="1:8" ht="12.15" customHeight="1" x14ac:dyDescent="0.25">
      <c r="A20" s="4"/>
      <c r="B20" s="14"/>
      <c r="C20" s="65" t="s">
        <v>704</v>
      </c>
      <c r="D20" s="150"/>
      <c r="E20" s="150"/>
      <c r="F20" s="67">
        <v>10.210000000000001</v>
      </c>
      <c r="G20" s="71"/>
      <c r="H20" s="5"/>
    </row>
    <row r="21" spans="1:8" x14ac:dyDescent="0.25">
      <c r="A21" s="4" t="s">
        <v>12</v>
      </c>
      <c r="B21" s="14" t="s">
        <v>350</v>
      </c>
      <c r="C21" s="130" t="s">
        <v>705</v>
      </c>
      <c r="D21" s="131"/>
      <c r="E21" s="14" t="s">
        <v>1167</v>
      </c>
      <c r="F21" s="24">
        <v>10.210000000000001</v>
      </c>
      <c r="G21" s="46">
        <v>0</v>
      </c>
      <c r="H21" s="5"/>
    </row>
    <row r="22" spans="1:8" ht="12.15" customHeight="1" x14ac:dyDescent="0.25">
      <c r="A22" s="4"/>
      <c r="B22" s="14"/>
      <c r="C22" s="65" t="s">
        <v>704</v>
      </c>
      <c r="D22" s="150" t="s">
        <v>1126</v>
      </c>
      <c r="E22" s="150"/>
      <c r="F22" s="67">
        <v>10.210000000000001</v>
      </c>
      <c r="G22" s="71"/>
      <c r="H22" s="5"/>
    </row>
    <row r="23" spans="1:8" x14ac:dyDescent="0.25">
      <c r="A23" s="64"/>
      <c r="B23" s="15" t="s">
        <v>19</v>
      </c>
      <c r="C23" s="132" t="s">
        <v>706</v>
      </c>
      <c r="D23" s="133"/>
      <c r="E23" s="15"/>
      <c r="F23" s="43"/>
      <c r="G23" s="72"/>
      <c r="H23" s="5"/>
    </row>
    <row r="24" spans="1:8" x14ac:dyDescent="0.25">
      <c r="A24" s="4" t="s">
        <v>13</v>
      </c>
      <c r="B24" s="14" t="s">
        <v>351</v>
      </c>
      <c r="C24" s="130" t="s">
        <v>707</v>
      </c>
      <c r="D24" s="131"/>
      <c r="E24" s="14" t="s">
        <v>1167</v>
      </c>
      <c r="F24" s="24">
        <v>10.34</v>
      </c>
      <c r="G24" s="46">
        <v>0</v>
      </c>
      <c r="H24" s="5"/>
    </row>
    <row r="25" spans="1:8" ht="12.15" customHeight="1" x14ac:dyDescent="0.25">
      <c r="A25" s="4"/>
      <c r="B25" s="14"/>
      <c r="C25" s="65" t="s">
        <v>708</v>
      </c>
      <c r="D25" s="150" t="s">
        <v>1127</v>
      </c>
      <c r="E25" s="150"/>
      <c r="F25" s="67">
        <v>10.34</v>
      </c>
      <c r="G25" s="71"/>
      <c r="H25" s="5"/>
    </row>
    <row r="26" spans="1:8" x14ac:dyDescent="0.25">
      <c r="A26" s="64"/>
      <c r="B26" s="15" t="s">
        <v>22</v>
      </c>
      <c r="C26" s="132" t="s">
        <v>709</v>
      </c>
      <c r="D26" s="133"/>
      <c r="E26" s="15"/>
      <c r="F26" s="43"/>
      <c r="G26" s="72"/>
      <c r="H26" s="5"/>
    </row>
    <row r="27" spans="1:8" x14ac:dyDescent="0.25">
      <c r="A27" s="4" t="s">
        <v>14</v>
      </c>
      <c r="B27" s="14" t="s">
        <v>352</v>
      </c>
      <c r="C27" s="130" t="s">
        <v>710</v>
      </c>
      <c r="D27" s="131"/>
      <c r="E27" s="14" t="s">
        <v>1167</v>
      </c>
      <c r="F27" s="24">
        <v>27.8</v>
      </c>
      <c r="G27" s="46">
        <v>0</v>
      </c>
      <c r="H27" s="5"/>
    </row>
    <row r="28" spans="1:8" ht="12.15" customHeight="1" x14ac:dyDescent="0.25">
      <c r="A28" s="4"/>
      <c r="B28" s="14"/>
      <c r="C28" s="65" t="s">
        <v>711</v>
      </c>
      <c r="D28" s="150" t="s">
        <v>1128</v>
      </c>
      <c r="E28" s="150"/>
      <c r="F28" s="67">
        <v>27.8</v>
      </c>
      <c r="G28" s="71"/>
      <c r="H28" s="5"/>
    </row>
    <row r="29" spans="1:8" x14ac:dyDescent="0.25">
      <c r="A29" s="4" t="s">
        <v>15</v>
      </c>
      <c r="B29" s="14" t="s">
        <v>353</v>
      </c>
      <c r="C29" s="130" t="s">
        <v>712</v>
      </c>
      <c r="D29" s="131"/>
      <c r="E29" s="14" t="s">
        <v>1167</v>
      </c>
      <c r="F29" s="24">
        <v>27.8</v>
      </c>
      <c r="G29" s="46">
        <v>0</v>
      </c>
      <c r="H29" s="5"/>
    </row>
    <row r="30" spans="1:8" x14ac:dyDescent="0.25">
      <c r="A30" s="4" t="s">
        <v>16</v>
      </c>
      <c r="B30" s="14" t="s">
        <v>354</v>
      </c>
      <c r="C30" s="130" t="s">
        <v>713</v>
      </c>
      <c r="D30" s="131"/>
      <c r="E30" s="14" t="s">
        <v>1167</v>
      </c>
      <c r="F30" s="24">
        <v>27.8</v>
      </c>
      <c r="G30" s="46">
        <v>0</v>
      </c>
      <c r="H30" s="5"/>
    </row>
    <row r="31" spans="1:8" x14ac:dyDescent="0.25">
      <c r="A31" s="64"/>
      <c r="B31" s="15" t="s">
        <v>23</v>
      </c>
      <c r="C31" s="132" t="s">
        <v>714</v>
      </c>
      <c r="D31" s="133"/>
      <c r="E31" s="15"/>
      <c r="F31" s="43"/>
      <c r="G31" s="72"/>
      <c r="H31" s="5"/>
    </row>
    <row r="32" spans="1:8" x14ac:dyDescent="0.25">
      <c r="A32" s="4" t="s">
        <v>17</v>
      </c>
      <c r="B32" s="14" t="s">
        <v>355</v>
      </c>
      <c r="C32" s="130" t="s">
        <v>715</v>
      </c>
      <c r="D32" s="131"/>
      <c r="E32" s="14" t="s">
        <v>1167</v>
      </c>
      <c r="F32" s="24">
        <v>7.07</v>
      </c>
      <c r="G32" s="46">
        <v>0</v>
      </c>
      <c r="H32" s="5"/>
    </row>
    <row r="33" spans="1:8" ht="12.15" customHeight="1" x14ac:dyDescent="0.25">
      <c r="A33" s="4"/>
      <c r="B33" s="14"/>
      <c r="C33" s="65" t="s">
        <v>716</v>
      </c>
      <c r="D33" s="150" t="s">
        <v>1129</v>
      </c>
      <c r="E33" s="150"/>
      <c r="F33" s="67">
        <v>7.07</v>
      </c>
      <c r="G33" s="71"/>
      <c r="H33" s="5"/>
    </row>
    <row r="34" spans="1:8" ht="12.15" customHeight="1" x14ac:dyDescent="0.25">
      <c r="A34" s="4"/>
      <c r="B34" s="14"/>
      <c r="C34" s="65" t="s">
        <v>717</v>
      </c>
      <c r="D34" s="150"/>
      <c r="E34" s="150"/>
      <c r="F34" s="67">
        <v>0</v>
      </c>
      <c r="G34" s="71"/>
      <c r="H34" s="5"/>
    </row>
    <row r="35" spans="1:8" x14ac:dyDescent="0.25">
      <c r="A35" s="4" t="s">
        <v>18</v>
      </c>
      <c r="B35" s="14" t="s">
        <v>356</v>
      </c>
      <c r="C35" s="130" t="s">
        <v>718</v>
      </c>
      <c r="D35" s="131"/>
      <c r="E35" s="14" t="s">
        <v>1167</v>
      </c>
      <c r="F35" s="24">
        <v>4.2699999999999996</v>
      </c>
      <c r="G35" s="46">
        <v>0</v>
      </c>
      <c r="H35" s="5"/>
    </row>
    <row r="36" spans="1:8" ht="12.15" customHeight="1" x14ac:dyDescent="0.25">
      <c r="A36" s="4"/>
      <c r="B36" s="14"/>
      <c r="C36" s="65" t="s">
        <v>719</v>
      </c>
      <c r="D36" s="150" t="s">
        <v>1130</v>
      </c>
      <c r="E36" s="150"/>
      <c r="F36" s="67">
        <v>4.2699999999999996</v>
      </c>
      <c r="G36" s="71"/>
      <c r="H36" s="5"/>
    </row>
    <row r="37" spans="1:8" x14ac:dyDescent="0.25">
      <c r="A37" s="7" t="s">
        <v>19</v>
      </c>
      <c r="B37" s="16" t="s">
        <v>357</v>
      </c>
      <c r="C37" s="134" t="s">
        <v>720</v>
      </c>
      <c r="D37" s="135"/>
      <c r="E37" s="16" t="s">
        <v>1168</v>
      </c>
      <c r="F37" s="26">
        <v>11.45</v>
      </c>
      <c r="G37" s="48">
        <v>0</v>
      </c>
      <c r="H37" s="5"/>
    </row>
    <row r="38" spans="1:8" ht="12.15" customHeight="1" x14ac:dyDescent="0.25">
      <c r="A38" s="7"/>
      <c r="B38" s="16"/>
      <c r="C38" s="65" t="s">
        <v>721</v>
      </c>
      <c r="D38" s="150" t="s">
        <v>1131</v>
      </c>
      <c r="E38" s="150"/>
      <c r="F38" s="68">
        <v>11.45</v>
      </c>
      <c r="G38" s="73"/>
      <c r="H38" s="5"/>
    </row>
    <row r="39" spans="1:8" x14ac:dyDescent="0.25">
      <c r="A39" s="4" t="s">
        <v>20</v>
      </c>
      <c r="B39" s="14" t="s">
        <v>358</v>
      </c>
      <c r="C39" s="130" t="s">
        <v>722</v>
      </c>
      <c r="D39" s="131"/>
      <c r="E39" s="14" t="s">
        <v>1169</v>
      </c>
      <c r="F39" s="24">
        <v>68.040000000000006</v>
      </c>
      <c r="G39" s="46">
        <v>0</v>
      </c>
      <c r="H39" s="5"/>
    </row>
    <row r="40" spans="1:8" ht="12.15" customHeight="1" x14ac:dyDescent="0.25">
      <c r="A40" s="4"/>
      <c r="B40" s="14"/>
      <c r="C40" s="65" t="s">
        <v>723</v>
      </c>
      <c r="D40" s="150" t="s">
        <v>1132</v>
      </c>
      <c r="E40" s="150"/>
      <c r="F40" s="67">
        <v>68.040000000000006</v>
      </c>
      <c r="G40" s="71"/>
      <c r="H40" s="5"/>
    </row>
    <row r="41" spans="1:8" x14ac:dyDescent="0.25">
      <c r="A41" s="4" t="s">
        <v>21</v>
      </c>
      <c r="B41" s="14" t="s">
        <v>359</v>
      </c>
      <c r="C41" s="130" t="s">
        <v>724</v>
      </c>
      <c r="D41" s="131"/>
      <c r="E41" s="14" t="s">
        <v>1168</v>
      </c>
      <c r="F41" s="24">
        <v>41.75</v>
      </c>
      <c r="G41" s="46">
        <v>0</v>
      </c>
      <c r="H41" s="5"/>
    </row>
    <row r="42" spans="1:8" ht="12.15" customHeight="1" x14ac:dyDescent="0.25">
      <c r="A42" s="4"/>
      <c r="B42" s="14"/>
      <c r="C42" s="65" t="s">
        <v>725</v>
      </c>
      <c r="D42" s="150"/>
      <c r="E42" s="150"/>
      <c r="F42" s="67">
        <v>41.75</v>
      </c>
      <c r="G42" s="71"/>
      <c r="H42" s="5"/>
    </row>
    <row r="43" spans="1:8" x14ac:dyDescent="0.25">
      <c r="A43" s="64"/>
      <c r="B43" s="15" t="s">
        <v>37</v>
      </c>
      <c r="C43" s="132" t="s">
        <v>726</v>
      </c>
      <c r="D43" s="133"/>
      <c r="E43" s="15"/>
      <c r="F43" s="43"/>
      <c r="G43" s="72"/>
      <c r="H43" s="5"/>
    </row>
    <row r="44" spans="1:8" x14ac:dyDescent="0.25">
      <c r="A44" s="4" t="s">
        <v>22</v>
      </c>
      <c r="B44" s="14" t="s">
        <v>360</v>
      </c>
      <c r="C44" s="130" t="s">
        <v>727</v>
      </c>
      <c r="D44" s="131"/>
      <c r="E44" s="14" t="s">
        <v>1170</v>
      </c>
      <c r="F44" s="24">
        <v>2</v>
      </c>
      <c r="G44" s="46">
        <v>0</v>
      </c>
      <c r="H44" s="5"/>
    </row>
    <row r="45" spans="1:8" x14ac:dyDescent="0.25">
      <c r="A45" s="4" t="s">
        <v>23</v>
      </c>
      <c r="B45" s="14" t="s">
        <v>361</v>
      </c>
      <c r="C45" s="130" t="s">
        <v>728</v>
      </c>
      <c r="D45" s="131"/>
      <c r="E45" s="14" t="s">
        <v>1170</v>
      </c>
      <c r="F45" s="24">
        <v>4</v>
      </c>
      <c r="G45" s="46">
        <v>0</v>
      </c>
      <c r="H45" s="5"/>
    </row>
    <row r="46" spans="1:8" x14ac:dyDescent="0.25">
      <c r="A46" s="4" t="s">
        <v>24</v>
      </c>
      <c r="B46" s="14" t="s">
        <v>362</v>
      </c>
      <c r="C46" s="130" t="s">
        <v>729</v>
      </c>
      <c r="D46" s="131"/>
      <c r="E46" s="14" t="s">
        <v>1170</v>
      </c>
      <c r="F46" s="24">
        <v>1</v>
      </c>
      <c r="G46" s="46">
        <v>0</v>
      </c>
      <c r="H46" s="5"/>
    </row>
    <row r="47" spans="1:8" x14ac:dyDescent="0.25">
      <c r="A47" s="7" t="s">
        <v>25</v>
      </c>
      <c r="B47" s="16" t="s">
        <v>363</v>
      </c>
      <c r="C47" s="134" t="s">
        <v>730</v>
      </c>
      <c r="D47" s="135"/>
      <c r="E47" s="16" t="s">
        <v>1170</v>
      </c>
      <c r="F47" s="26">
        <v>1</v>
      </c>
      <c r="G47" s="48">
        <v>0</v>
      </c>
      <c r="H47" s="5"/>
    </row>
    <row r="48" spans="1:8" x14ac:dyDescent="0.25">
      <c r="A48" s="4" t="s">
        <v>26</v>
      </c>
      <c r="B48" s="14" t="s">
        <v>362</v>
      </c>
      <c r="C48" s="130" t="s">
        <v>731</v>
      </c>
      <c r="D48" s="131"/>
      <c r="E48" s="14" t="s">
        <v>1170</v>
      </c>
      <c r="F48" s="24">
        <v>6</v>
      </c>
      <c r="G48" s="46">
        <v>0</v>
      </c>
      <c r="H48" s="5"/>
    </row>
    <row r="49" spans="1:8" x14ac:dyDescent="0.25">
      <c r="A49" s="7" t="s">
        <v>27</v>
      </c>
      <c r="B49" s="16" t="s">
        <v>364</v>
      </c>
      <c r="C49" s="134" t="s">
        <v>732</v>
      </c>
      <c r="D49" s="135"/>
      <c r="E49" s="16" t="s">
        <v>1170</v>
      </c>
      <c r="F49" s="26">
        <v>6</v>
      </c>
      <c r="G49" s="48">
        <v>0</v>
      </c>
      <c r="H49" s="5"/>
    </row>
    <row r="50" spans="1:8" x14ac:dyDescent="0.25">
      <c r="A50" s="64"/>
      <c r="B50" s="15" t="s">
        <v>39</v>
      </c>
      <c r="C50" s="132" t="s">
        <v>733</v>
      </c>
      <c r="D50" s="133"/>
      <c r="E50" s="15"/>
      <c r="F50" s="43"/>
      <c r="G50" s="72"/>
      <c r="H50" s="5"/>
    </row>
    <row r="51" spans="1:8" x14ac:dyDescent="0.25">
      <c r="A51" s="4" t="s">
        <v>28</v>
      </c>
      <c r="B51" s="14" t="s">
        <v>365</v>
      </c>
      <c r="C51" s="130" t="s">
        <v>734</v>
      </c>
      <c r="D51" s="131"/>
      <c r="E51" s="14" t="s">
        <v>1170</v>
      </c>
      <c r="F51" s="24">
        <v>21</v>
      </c>
      <c r="G51" s="46">
        <v>0</v>
      </c>
      <c r="H51" s="5"/>
    </row>
    <row r="52" spans="1:8" ht="12.15" customHeight="1" x14ac:dyDescent="0.25">
      <c r="A52" s="4"/>
      <c r="B52" s="14"/>
      <c r="C52" s="65" t="s">
        <v>27</v>
      </c>
      <c r="D52" s="150" t="s">
        <v>1133</v>
      </c>
      <c r="E52" s="150"/>
      <c r="F52" s="67">
        <v>21</v>
      </c>
      <c r="G52" s="71"/>
      <c r="H52" s="5"/>
    </row>
    <row r="53" spans="1:8" x14ac:dyDescent="0.25">
      <c r="A53" s="7" t="s">
        <v>29</v>
      </c>
      <c r="B53" s="16" t="s">
        <v>366</v>
      </c>
      <c r="C53" s="134" t="s">
        <v>735</v>
      </c>
      <c r="D53" s="135"/>
      <c r="E53" s="16" t="s">
        <v>1171</v>
      </c>
      <c r="F53" s="26">
        <v>11</v>
      </c>
      <c r="G53" s="48">
        <v>0</v>
      </c>
      <c r="H53" s="5"/>
    </row>
    <row r="54" spans="1:8" ht="12.15" customHeight="1" x14ac:dyDescent="0.25">
      <c r="A54" s="7"/>
      <c r="B54" s="16"/>
      <c r="C54" s="65" t="s">
        <v>17</v>
      </c>
      <c r="D54" s="150" t="s">
        <v>1134</v>
      </c>
      <c r="E54" s="150"/>
      <c r="F54" s="68">
        <v>11</v>
      </c>
      <c r="G54" s="73"/>
      <c r="H54" s="5"/>
    </row>
    <row r="55" spans="1:8" ht="12.15" customHeight="1" x14ac:dyDescent="0.25">
      <c r="A55" s="7"/>
      <c r="B55" s="16"/>
      <c r="C55" s="65" t="s">
        <v>736</v>
      </c>
      <c r="D55" s="150" t="s">
        <v>1135</v>
      </c>
      <c r="E55" s="150"/>
      <c r="F55" s="68">
        <v>0</v>
      </c>
      <c r="G55" s="73"/>
      <c r="H55" s="5"/>
    </row>
    <row r="56" spans="1:8" x14ac:dyDescent="0.25">
      <c r="A56" s="7" t="s">
        <v>30</v>
      </c>
      <c r="B56" s="16" t="s">
        <v>367</v>
      </c>
      <c r="C56" s="134" t="s">
        <v>737</v>
      </c>
      <c r="D56" s="135"/>
      <c r="E56" s="16" t="s">
        <v>1170</v>
      </c>
      <c r="F56" s="26">
        <v>8</v>
      </c>
      <c r="G56" s="48">
        <v>0</v>
      </c>
      <c r="H56" s="5"/>
    </row>
    <row r="57" spans="1:8" ht="12.15" customHeight="1" x14ac:dyDescent="0.25">
      <c r="A57" s="7"/>
      <c r="B57" s="16"/>
      <c r="C57" s="65" t="s">
        <v>14</v>
      </c>
      <c r="D57" s="150" t="s">
        <v>1136</v>
      </c>
      <c r="E57" s="150"/>
      <c r="F57" s="68">
        <v>8</v>
      </c>
      <c r="G57" s="73"/>
      <c r="H57" s="5"/>
    </row>
    <row r="58" spans="1:8" x14ac:dyDescent="0.25">
      <c r="A58" s="7" t="s">
        <v>31</v>
      </c>
      <c r="B58" s="16" t="s">
        <v>368</v>
      </c>
      <c r="C58" s="134" t="s">
        <v>738</v>
      </c>
      <c r="D58" s="135"/>
      <c r="E58" s="16" t="s">
        <v>1170</v>
      </c>
      <c r="F58" s="26">
        <v>2</v>
      </c>
      <c r="G58" s="48">
        <v>0</v>
      </c>
      <c r="H58" s="5"/>
    </row>
    <row r="59" spans="1:8" ht="12.15" customHeight="1" x14ac:dyDescent="0.25">
      <c r="A59" s="7"/>
      <c r="B59" s="16"/>
      <c r="C59" s="65" t="s">
        <v>8</v>
      </c>
      <c r="D59" s="150" t="s">
        <v>1137</v>
      </c>
      <c r="E59" s="150"/>
      <c r="F59" s="68">
        <v>2</v>
      </c>
      <c r="G59" s="73"/>
      <c r="H59" s="5"/>
    </row>
    <row r="60" spans="1:8" x14ac:dyDescent="0.25">
      <c r="A60" s="7" t="s">
        <v>32</v>
      </c>
      <c r="B60" s="16" t="s">
        <v>369</v>
      </c>
      <c r="C60" s="134" t="s">
        <v>739</v>
      </c>
      <c r="D60" s="135"/>
      <c r="E60" s="16" t="s">
        <v>1170</v>
      </c>
      <c r="F60" s="26">
        <v>6</v>
      </c>
      <c r="G60" s="48">
        <v>0</v>
      </c>
      <c r="H60" s="5"/>
    </row>
    <row r="61" spans="1:8" ht="12.15" customHeight="1" x14ac:dyDescent="0.25">
      <c r="A61" s="7"/>
      <c r="B61" s="16"/>
      <c r="C61" s="65" t="s">
        <v>12</v>
      </c>
      <c r="D61" s="150" t="s">
        <v>1138</v>
      </c>
      <c r="E61" s="150"/>
      <c r="F61" s="68">
        <v>6</v>
      </c>
      <c r="G61" s="73"/>
      <c r="H61" s="5"/>
    </row>
    <row r="62" spans="1:8" x14ac:dyDescent="0.25">
      <c r="A62" s="64"/>
      <c r="B62" s="15" t="s">
        <v>49</v>
      </c>
      <c r="C62" s="132" t="s">
        <v>740</v>
      </c>
      <c r="D62" s="133"/>
      <c r="E62" s="15"/>
      <c r="F62" s="43"/>
      <c r="G62" s="72"/>
      <c r="H62" s="5"/>
    </row>
    <row r="63" spans="1:8" x14ac:dyDescent="0.25">
      <c r="A63" s="4" t="s">
        <v>33</v>
      </c>
      <c r="B63" s="14" t="s">
        <v>370</v>
      </c>
      <c r="C63" s="130" t="s">
        <v>741</v>
      </c>
      <c r="D63" s="131"/>
      <c r="E63" s="14" t="s">
        <v>1167</v>
      </c>
      <c r="F63" s="24">
        <v>0.35</v>
      </c>
      <c r="G63" s="46">
        <v>0</v>
      </c>
      <c r="H63" s="5"/>
    </row>
    <row r="64" spans="1:8" x14ac:dyDescent="0.25">
      <c r="A64" s="64"/>
      <c r="B64" s="15" t="s">
        <v>52</v>
      </c>
      <c r="C64" s="132" t="s">
        <v>742</v>
      </c>
      <c r="D64" s="133"/>
      <c r="E64" s="15"/>
      <c r="F64" s="43"/>
      <c r="G64" s="72"/>
      <c r="H64" s="5"/>
    </row>
    <row r="65" spans="1:8" x14ac:dyDescent="0.25">
      <c r="A65" s="4" t="s">
        <v>34</v>
      </c>
      <c r="B65" s="14" t="s">
        <v>371</v>
      </c>
      <c r="C65" s="130" t="s">
        <v>743</v>
      </c>
      <c r="D65" s="131"/>
      <c r="E65" s="14" t="s">
        <v>1169</v>
      </c>
      <c r="F65" s="24">
        <v>6.72</v>
      </c>
      <c r="G65" s="46">
        <v>0</v>
      </c>
      <c r="H65" s="5"/>
    </row>
    <row r="66" spans="1:8" ht="12.15" customHeight="1" x14ac:dyDescent="0.25">
      <c r="A66" s="4"/>
      <c r="B66" s="14"/>
      <c r="C66" s="65" t="s">
        <v>744</v>
      </c>
      <c r="D66" s="150"/>
      <c r="E66" s="150"/>
      <c r="F66" s="67">
        <v>6.72</v>
      </c>
      <c r="G66" s="71"/>
      <c r="H66" s="5"/>
    </row>
    <row r="67" spans="1:8" x14ac:dyDescent="0.25">
      <c r="A67" s="4" t="s">
        <v>35</v>
      </c>
      <c r="B67" s="14" t="s">
        <v>372</v>
      </c>
      <c r="C67" s="130" t="s">
        <v>745</v>
      </c>
      <c r="D67" s="131"/>
      <c r="E67" s="14" t="s">
        <v>1169</v>
      </c>
      <c r="F67" s="24">
        <v>0.78</v>
      </c>
      <c r="G67" s="46">
        <v>0</v>
      </c>
      <c r="H67" s="5"/>
    </row>
    <row r="68" spans="1:8" ht="12.15" customHeight="1" x14ac:dyDescent="0.25">
      <c r="A68" s="4"/>
      <c r="B68" s="14"/>
      <c r="C68" s="65" t="s">
        <v>746</v>
      </c>
      <c r="D68" s="150"/>
      <c r="E68" s="150"/>
      <c r="F68" s="67">
        <v>0.78</v>
      </c>
      <c r="G68" s="71"/>
      <c r="H68" s="5"/>
    </row>
    <row r="69" spans="1:8" x14ac:dyDescent="0.25">
      <c r="A69" s="4" t="s">
        <v>36</v>
      </c>
      <c r="B69" s="14" t="s">
        <v>373</v>
      </c>
      <c r="C69" s="130" t="s">
        <v>747</v>
      </c>
      <c r="D69" s="131"/>
      <c r="E69" s="14" t="s">
        <v>1169</v>
      </c>
      <c r="F69" s="24">
        <v>9.9</v>
      </c>
      <c r="G69" s="46">
        <v>0</v>
      </c>
      <c r="H69" s="5"/>
    </row>
    <row r="70" spans="1:8" ht="12.15" customHeight="1" x14ac:dyDescent="0.25">
      <c r="A70" s="4"/>
      <c r="B70" s="14"/>
      <c r="C70" s="65" t="s">
        <v>748</v>
      </c>
      <c r="D70" s="150"/>
      <c r="E70" s="150"/>
      <c r="F70" s="67">
        <v>9.9</v>
      </c>
      <c r="G70" s="71"/>
      <c r="H70" s="5"/>
    </row>
    <row r="71" spans="1:8" x14ac:dyDescent="0.25">
      <c r="A71" s="4" t="s">
        <v>37</v>
      </c>
      <c r="B71" s="14" t="s">
        <v>374</v>
      </c>
      <c r="C71" s="130" t="s">
        <v>749</v>
      </c>
      <c r="D71" s="131"/>
      <c r="E71" s="14" t="s">
        <v>1167</v>
      </c>
      <c r="F71" s="24">
        <v>0.33</v>
      </c>
      <c r="G71" s="46">
        <v>0</v>
      </c>
      <c r="H71" s="5"/>
    </row>
    <row r="72" spans="1:8" ht="12.15" customHeight="1" x14ac:dyDescent="0.25">
      <c r="A72" s="4"/>
      <c r="B72" s="14"/>
      <c r="C72" s="65" t="s">
        <v>750</v>
      </c>
      <c r="D72" s="150"/>
      <c r="E72" s="150"/>
      <c r="F72" s="67">
        <v>0.33</v>
      </c>
      <c r="G72" s="71"/>
      <c r="H72" s="5"/>
    </row>
    <row r="73" spans="1:8" x14ac:dyDescent="0.25">
      <c r="A73" s="4" t="s">
        <v>38</v>
      </c>
      <c r="B73" s="14" t="s">
        <v>375</v>
      </c>
      <c r="C73" s="130" t="s">
        <v>751</v>
      </c>
      <c r="D73" s="131"/>
      <c r="E73" s="14" t="s">
        <v>1169</v>
      </c>
      <c r="F73" s="24">
        <v>61.74</v>
      </c>
      <c r="G73" s="46">
        <v>0</v>
      </c>
      <c r="H73" s="5"/>
    </row>
    <row r="74" spans="1:8" ht="12.15" customHeight="1" x14ac:dyDescent="0.25">
      <c r="A74" s="4"/>
      <c r="B74" s="14"/>
      <c r="C74" s="65" t="s">
        <v>752</v>
      </c>
      <c r="D74" s="150"/>
      <c r="E74" s="150"/>
      <c r="F74" s="67">
        <v>61.74</v>
      </c>
      <c r="G74" s="71"/>
      <c r="H74" s="5"/>
    </row>
    <row r="75" spans="1:8" x14ac:dyDescent="0.25">
      <c r="A75" s="7" t="s">
        <v>39</v>
      </c>
      <c r="B75" s="16" t="s">
        <v>376</v>
      </c>
      <c r="C75" s="134" t="s">
        <v>753</v>
      </c>
      <c r="D75" s="135"/>
      <c r="E75" s="16" t="s">
        <v>1169</v>
      </c>
      <c r="F75" s="26">
        <v>62.97</v>
      </c>
      <c r="G75" s="48">
        <v>0</v>
      </c>
      <c r="H75" s="5"/>
    </row>
    <row r="76" spans="1:8" ht="12.15" customHeight="1" x14ac:dyDescent="0.25">
      <c r="A76" s="7"/>
      <c r="B76" s="16"/>
      <c r="C76" s="65" t="s">
        <v>754</v>
      </c>
      <c r="D76" s="150" t="s">
        <v>1139</v>
      </c>
      <c r="E76" s="150"/>
      <c r="F76" s="68">
        <v>62.97</v>
      </c>
      <c r="G76" s="73"/>
      <c r="H76" s="5"/>
    </row>
    <row r="77" spans="1:8" x14ac:dyDescent="0.25">
      <c r="A77" s="64"/>
      <c r="B77" s="15" t="s">
        <v>67</v>
      </c>
      <c r="C77" s="132" t="s">
        <v>755</v>
      </c>
      <c r="D77" s="133"/>
      <c r="E77" s="15"/>
      <c r="F77" s="43"/>
      <c r="G77" s="72"/>
      <c r="H77" s="5"/>
    </row>
    <row r="78" spans="1:8" x14ac:dyDescent="0.25">
      <c r="A78" s="4" t="s">
        <v>40</v>
      </c>
      <c r="B78" s="14" t="s">
        <v>377</v>
      </c>
      <c r="C78" s="130" t="s">
        <v>756</v>
      </c>
      <c r="D78" s="131"/>
      <c r="E78" s="14" t="s">
        <v>1169</v>
      </c>
      <c r="F78" s="24">
        <v>31.76</v>
      </c>
      <c r="G78" s="46">
        <v>0</v>
      </c>
      <c r="H78" s="5"/>
    </row>
    <row r="79" spans="1:8" ht="12.15" customHeight="1" x14ac:dyDescent="0.25">
      <c r="A79" s="4"/>
      <c r="B79" s="14"/>
      <c r="C79" s="65" t="s">
        <v>757</v>
      </c>
      <c r="D79" s="150"/>
      <c r="E79" s="150"/>
      <c r="F79" s="67">
        <v>31.76</v>
      </c>
      <c r="G79" s="71"/>
      <c r="H79" s="5"/>
    </row>
    <row r="80" spans="1:8" x14ac:dyDescent="0.25">
      <c r="A80" s="4" t="s">
        <v>41</v>
      </c>
      <c r="B80" s="14" t="s">
        <v>378</v>
      </c>
      <c r="C80" s="130" t="s">
        <v>758</v>
      </c>
      <c r="D80" s="131"/>
      <c r="E80" s="14" t="s">
        <v>1169</v>
      </c>
      <c r="F80" s="24">
        <v>21.39</v>
      </c>
      <c r="G80" s="46">
        <v>0</v>
      </c>
      <c r="H80" s="5"/>
    </row>
    <row r="81" spans="1:8" ht="12.15" customHeight="1" x14ac:dyDescent="0.25">
      <c r="A81" s="4"/>
      <c r="B81" s="14"/>
      <c r="C81" s="65" t="s">
        <v>759</v>
      </c>
      <c r="D81" s="150"/>
      <c r="E81" s="150"/>
      <c r="F81" s="67">
        <v>21.39</v>
      </c>
      <c r="G81" s="71"/>
      <c r="H81" s="5"/>
    </row>
    <row r="82" spans="1:8" x14ac:dyDescent="0.25">
      <c r="A82" s="4" t="s">
        <v>42</v>
      </c>
      <c r="B82" s="14" t="s">
        <v>379</v>
      </c>
      <c r="C82" s="130" t="s">
        <v>760</v>
      </c>
      <c r="D82" s="131"/>
      <c r="E82" s="14" t="s">
        <v>1169</v>
      </c>
      <c r="F82" s="24">
        <v>29.11</v>
      </c>
      <c r="G82" s="46">
        <v>0</v>
      </c>
      <c r="H82" s="5"/>
    </row>
    <row r="83" spans="1:8" ht="12.15" customHeight="1" x14ac:dyDescent="0.25">
      <c r="A83" s="4"/>
      <c r="B83" s="14"/>
      <c r="C83" s="65" t="s">
        <v>761</v>
      </c>
      <c r="D83" s="150"/>
      <c r="E83" s="150"/>
      <c r="F83" s="67">
        <v>29.11</v>
      </c>
      <c r="G83" s="71"/>
      <c r="H83" s="5"/>
    </row>
    <row r="84" spans="1:8" x14ac:dyDescent="0.25">
      <c r="A84" s="4" t="s">
        <v>43</v>
      </c>
      <c r="B84" s="14" t="s">
        <v>380</v>
      </c>
      <c r="C84" s="130" t="s">
        <v>762</v>
      </c>
      <c r="D84" s="131"/>
      <c r="E84" s="14" t="s">
        <v>1170</v>
      </c>
      <c r="F84" s="24">
        <v>5</v>
      </c>
      <c r="G84" s="46">
        <v>0</v>
      </c>
      <c r="H84" s="5"/>
    </row>
    <row r="85" spans="1:8" x14ac:dyDescent="0.25">
      <c r="A85" s="64"/>
      <c r="B85" s="15" t="s">
        <v>68</v>
      </c>
      <c r="C85" s="132" t="s">
        <v>763</v>
      </c>
      <c r="D85" s="133"/>
      <c r="E85" s="15"/>
      <c r="F85" s="43"/>
      <c r="G85" s="72"/>
      <c r="H85" s="5"/>
    </row>
    <row r="86" spans="1:8" x14ac:dyDescent="0.25">
      <c r="A86" s="4" t="s">
        <v>44</v>
      </c>
      <c r="B86" s="14" t="s">
        <v>381</v>
      </c>
      <c r="C86" s="130" t="s">
        <v>764</v>
      </c>
      <c r="D86" s="131"/>
      <c r="E86" s="14" t="s">
        <v>1169</v>
      </c>
      <c r="F86" s="24">
        <v>0.5</v>
      </c>
      <c r="G86" s="46">
        <v>0</v>
      </c>
      <c r="H86" s="5"/>
    </row>
    <row r="87" spans="1:8" x14ac:dyDescent="0.25">
      <c r="A87" s="64"/>
      <c r="B87" s="15" t="s">
        <v>69</v>
      </c>
      <c r="C87" s="132" t="s">
        <v>765</v>
      </c>
      <c r="D87" s="133"/>
      <c r="E87" s="15"/>
      <c r="F87" s="43"/>
      <c r="G87" s="72"/>
      <c r="H87" s="5"/>
    </row>
    <row r="88" spans="1:8" x14ac:dyDescent="0.25">
      <c r="A88" s="4" t="s">
        <v>45</v>
      </c>
      <c r="B88" s="14" t="s">
        <v>382</v>
      </c>
      <c r="C88" s="130" t="s">
        <v>766</v>
      </c>
      <c r="D88" s="131"/>
      <c r="E88" s="14" t="s">
        <v>1167</v>
      </c>
      <c r="F88" s="24">
        <v>0.68</v>
      </c>
      <c r="G88" s="46">
        <v>0</v>
      </c>
      <c r="H88" s="5"/>
    </row>
    <row r="89" spans="1:8" ht="12.15" customHeight="1" x14ac:dyDescent="0.25">
      <c r="A89" s="4"/>
      <c r="B89" s="14"/>
      <c r="C89" s="65" t="s">
        <v>767</v>
      </c>
      <c r="D89" s="150"/>
      <c r="E89" s="150"/>
      <c r="F89" s="67">
        <v>0.68</v>
      </c>
      <c r="G89" s="71"/>
      <c r="H89" s="5"/>
    </row>
    <row r="90" spans="1:8" x14ac:dyDescent="0.25">
      <c r="A90" s="4" t="s">
        <v>46</v>
      </c>
      <c r="B90" s="14" t="s">
        <v>383</v>
      </c>
      <c r="C90" s="130" t="s">
        <v>768</v>
      </c>
      <c r="D90" s="131"/>
      <c r="E90" s="14" t="s">
        <v>1167</v>
      </c>
      <c r="F90" s="24">
        <v>0.11</v>
      </c>
      <c r="G90" s="46">
        <v>0</v>
      </c>
      <c r="H90" s="5"/>
    </row>
    <row r="91" spans="1:8" x14ac:dyDescent="0.25">
      <c r="A91" s="64"/>
      <c r="B91" s="15" t="s">
        <v>70</v>
      </c>
      <c r="C91" s="132" t="s">
        <v>769</v>
      </c>
      <c r="D91" s="133"/>
      <c r="E91" s="15"/>
      <c r="F91" s="43"/>
      <c r="G91" s="72"/>
      <c r="H91" s="5"/>
    </row>
    <row r="92" spans="1:8" x14ac:dyDescent="0.25">
      <c r="A92" s="4" t="s">
        <v>47</v>
      </c>
      <c r="B92" s="14" t="s">
        <v>384</v>
      </c>
      <c r="C92" s="130" t="s">
        <v>770</v>
      </c>
      <c r="D92" s="131"/>
      <c r="E92" s="14" t="s">
        <v>1170</v>
      </c>
      <c r="F92" s="24">
        <v>1</v>
      </c>
      <c r="G92" s="46">
        <v>0</v>
      </c>
      <c r="H92" s="5"/>
    </row>
    <row r="93" spans="1:8" x14ac:dyDescent="0.25">
      <c r="A93" s="7" t="s">
        <v>48</v>
      </c>
      <c r="B93" s="16" t="s">
        <v>385</v>
      </c>
      <c r="C93" s="134" t="s">
        <v>771</v>
      </c>
      <c r="D93" s="135"/>
      <c r="E93" s="16" t="s">
        <v>1170</v>
      </c>
      <c r="F93" s="26">
        <v>1</v>
      </c>
      <c r="G93" s="48">
        <v>0</v>
      </c>
      <c r="H93" s="5"/>
    </row>
    <row r="94" spans="1:8" x14ac:dyDescent="0.25">
      <c r="A94" s="4" t="s">
        <v>49</v>
      </c>
      <c r="B94" s="14" t="s">
        <v>386</v>
      </c>
      <c r="C94" s="130" t="s">
        <v>772</v>
      </c>
      <c r="D94" s="131"/>
      <c r="E94" s="14" t="s">
        <v>1170</v>
      </c>
      <c r="F94" s="24">
        <v>1</v>
      </c>
      <c r="G94" s="46">
        <v>0</v>
      </c>
      <c r="H94" s="5"/>
    </row>
    <row r="95" spans="1:8" x14ac:dyDescent="0.25">
      <c r="A95" s="4" t="s">
        <v>50</v>
      </c>
      <c r="B95" s="14" t="s">
        <v>387</v>
      </c>
      <c r="C95" s="130" t="s">
        <v>773</v>
      </c>
      <c r="D95" s="131"/>
      <c r="E95" s="14" t="s">
        <v>1170</v>
      </c>
      <c r="F95" s="24">
        <v>1</v>
      </c>
      <c r="G95" s="46">
        <v>0</v>
      </c>
      <c r="H95" s="5"/>
    </row>
    <row r="96" spans="1:8" x14ac:dyDescent="0.25">
      <c r="A96" s="7" t="s">
        <v>51</v>
      </c>
      <c r="B96" s="16" t="s">
        <v>388</v>
      </c>
      <c r="C96" s="134" t="s">
        <v>774</v>
      </c>
      <c r="D96" s="135"/>
      <c r="E96" s="16" t="s">
        <v>1170</v>
      </c>
      <c r="F96" s="26">
        <v>1</v>
      </c>
      <c r="G96" s="48">
        <v>0</v>
      </c>
      <c r="H96" s="5"/>
    </row>
    <row r="97" spans="1:8" x14ac:dyDescent="0.25">
      <c r="A97" s="4" t="s">
        <v>52</v>
      </c>
      <c r="B97" s="14" t="s">
        <v>389</v>
      </c>
      <c r="C97" s="130" t="s">
        <v>775</v>
      </c>
      <c r="D97" s="131"/>
      <c r="E97" s="14" t="s">
        <v>1170</v>
      </c>
      <c r="F97" s="24">
        <v>1</v>
      </c>
      <c r="G97" s="46">
        <v>0</v>
      </c>
      <c r="H97" s="5"/>
    </row>
    <row r="98" spans="1:8" x14ac:dyDescent="0.25">
      <c r="A98" s="7" t="s">
        <v>53</v>
      </c>
      <c r="B98" s="16" t="s">
        <v>390</v>
      </c>
      <c r="C98" s="134" t="s">
        <v>776</v>
      </c>
      <c r="D98" s="135"/>
      <c r="E98" s="16" t="s">
        <v>1170</v>
      </c>
      <c r="F98" s="26">
        <v>1</v>
      </c>
      <c r="G98" s="48">
        <v>0</v>
      </c>
      <c r="H98" s="5"/>
    </row>
    <row r="99" spans="1:8" x14ac:dyDescent="0.25">
      <c r="A99" s="64"/>
      <c r="B99" s="15" t="s">
        <v>391</v>
      </c>
      <c r="C99" s="132" t="s">
        <v>777</v>
      </c>
      <c r="D99" s="133"/>
      <c r="E99" s="15"/>
      <c r="F99" s="43"/>
      <c r="G99" s="72"/>
      <c r="H99" s="5"/>
    </row>
    <row r="100" spans="1:8" x14ac:dyDescent="0.25">
      <c r="A100" s="4" t="s">
        <v>54</v>
      </c>
      <c r="B100" s="14" t="s">
        <v>392</v>
      </c>
      <c r="C100" s="130" t="s">
        <v>778</v>
      </c>
      <c r="D100" s="131"/>
      <c r="E100" s="14" t="s">
        <v>1169</v>
      </c>
      <c r="F100" s="24">
        <v>15</v>
      </c>
      <c r="G100" s="46">
        <v>0</v>
      </c>
      <c r="H100" s="5"/>
    </row>
    <row r="101" spans="1:8" x14ac:dyDescent="0.25">
      <c r="A101" s="4" t="s">
        <v>55</v>
      </c>
      <c r="B101" s="14" t="s">
        <v>393</v>
      </c>
      <c r="C101" s="130" t="s">
        <v>779</v>
      </c>
      <c r="D101" s="131"/>
      <c r="E101" s="14" t="s">
        <v>1165</v>
      </c>
      <c r="F101" s="24">
        <v>10</v>
      </c>
      <c r="G101" s="46">
        <v>0</v>
      </c>
      <c r="H101" s="5"/>
    </row>
    <row r="102" spans="1:8" x14ac:dyDescent="0.25">
      <c r="A102" s="4" t="s">
        <v>56</v>
      </c>
      <c r="B102" s="14" t="s">
        <v>394</v>
      </c>
      <c r="C102" s="130" t="s">
        <v>780</v>
      </c>
      <c r="D102" s="131"/>
      <c r="E102" s="14" t="s">
        <v>1165</v>
      </c>
      <c r="F102" s="24">
        <v>2</v>
      </c>
      <c r="G102" s="46">
        <v>0</v>
      </c>
      <c r="H102" s="5"/>
    </row>
    <row r="103" spans="1:8" x14ac:dyDescent="0.25">
      <c r="A103" s="4" t="s">
        <v>57</v>
      </c>
      <c r="B103" s="14" t="s">
        <v>395</v>
      </c>
      <c r="C103" s="130" t="s">
        <v>781</v>
      </c>
      <c r="D103" s="131"/>
      <c r="E103" s="14" t="s">
        <v>1165</v>
      </c>
      <c r="F103" s="24">
        <v>30</v>
      </c>
      <c r="G103" s="46">
        <v>0</v>
      </c>
      <c r="H103" s="5"/>
    </row>
    <row r="104" spans="1:8" x14ac:dyDescent="0.25">
      <c r="A104" s="4" t="s">
        <v>58</v>
      </c>
      <c r="B104" s="14" t="s">
        <v>396</v>
      </c>
      <c r="C104" s="130" t="s">
        <v>782</v>
      </c>
      <c r="D104" s="131"/>
      <c r="E104" s="14" t="s">
        <v>1165</v>
      </c>
      <c r="F104" s="24">
        <v>1</v>
      </c>
      <c r="G104" s="46">
        <v>0</v>
      </c>
      <c r="H104" s="5"/>
    </row>
    <row r="105" spans="1:8" x14ac:dyDescent="0.25">
      <c r="A105" s="4" t="s">
        <v>59</v>
      </c>
      <c r="B105" s="14" t="s">
        <v>394</v>
      </c>
      <c r="C105" s="130" t="s">
        <v>783</v>
      </c>
      <c r="D105" s="131"/>
      <c r="E105" s="14" t="s">
        <v>1165</v>
      </c>
      <c r="F105" s="24">
        <v>6</v>
      </c>
      <c r="G105" s="46">
        <v>0</v>
      </c>
      <c r="H105" s="5"/>
    </row>
    <row r="106" spans="1:8" x14ac:dyDescent="0.25">
      <c r="A106" s="4" t="s">
        <v>60</v>
      </c>
      <c r="B106" s="14" t="s">
        <v>397</v>
      </c>
      <c r="C106" s="130" t="s">
        <v>784</v>
      </c>
      <c r="D106" s="131"/>
      <c r="E106" s="14" t="s">
        <v>1165</v>
      </c>
      <c r="F106" s="24">
        <v>2</v>
      </c>
      <c r="G106" s="46">
        <v>0</v>
      </c>
      <c r="H106" s="5"/>
    </row>
    <row r="107" spans="1:8" x14ac:dyDescent="0.25">
      <c r="A107" s="4" t="s">
        <v>61</v>
      </c>
      <c r="B107" s="14" t="s">
        <v>398</v>
      </c>
      <c r="C107" s="130" t="s">
        <v>785</v>
      </c>
      <c r="D107" s="131"/>
      <c r="E107" s="14" t="s">
        <v>1165</v>
      </c>
      <c r="F107" s="24">
        <v>6</v>
      </c>
      <c r="G107" s="46">
        <v>0</v>
      </c>
      <c r="H107" s="5"/>
    </row>
    <row r="108" spans="1:8" x14ac:dyDescent="0.25">
      <c r="A108" s="4" t="s">
        <v>62</v>
      </c>
      <c r="B108" s="14" t="s">
        <v>399</v>
      </c>
      <c r="C108" s="130" t="s">
        <v>786</v>
      </c>
      <c r="D108" s="131"/>
      <c r="E108" s="14" t="s">
        <v>1165</v>
      </c>
      <c r="F108" s="24">
        <v>12</v>
      </c>
      <c r="G108" s="46">
        <v>0</v>
      </c>
      <c r="H108" s="5"/>
    </row>
    <row r="109" spans="1:8" x14ac:dyDescent="0.25">
      <c r="A109" s="4" t="s">
        <v>63</v>
      </c>
      <c r="B109" s="14" t="s">
        <v>400</v>
      </c>
      <c r="C109" s="130" t="s">
        <v>787</v>
      </c>
      <c r="D109" s="131"/>
      <c r="E109" s="14" t="s">
        <v>1165</v>
      </c>
      <c r="F109" s="24">
        <v>18</v>
      </c>
      <c r="G109" s="46">
        <v>0</v>
      </c>
      <c r="H109" s="5"/>
    </row>
    <row r="110" spans="1:8" x14ac:dyDescent="0.25">
      <c r="A110" s="4" t="s">
        <v>64</v>
      </c>
      <c r="B110" s="14" t="s">
        <v>401</v>
      </c>
      <c r="C110" s="130" t="s">
        <v>788</v>
      </c>
      <c r="D110" s="131"/>
      <c r="E110" s="14" t="s">
        <v>1170</v>
      </c>
      <c r="F110" s="24">
        <v>3</v>
      </c>
      <c r="G110" s="46">
        <v>0</v>
      </c>
      <c r="H110" s="5"/>
    </row>
    <row r="111" spans="1:8" x14ac:dyDescent="0.25">
      <c r="A111" s="4" t="s">
        <v>65</v>
      </c>
      <c r="B111" s="14" t="s">
        <v>402</v>
      </c>
      <c r="C111" s="130" t="s">
        <v>789</v>
      </c>
      <c r="D111" s="131"/>
      <c r="E111" s="14" t="s">
        <v>1170</v>
      </c>
      <c r="F111" s="24">
        <v>4</v>
      </c>
      <c r="G111" s="46">
        <v>0</v>
      </c>
      <c r="H111" s="5"/>
    </row>
    <row r="112" spans="1:8" x14ac:dyDescent="0.25">
      <c r="A112" s="4" t="s">
        <v>66</v>
      </c>
      <c r="B112" s="14" t="s">
        <v>402</v>
      </c>
      <c r="C112" s="130" t="s">
        <v>790</v>
      </c>
      <c r="D112" s="131"/>
      <c r="E112" s="14" t="s">
        <v>1170</v>
      </c>
      <c r="F112" s="24">
        <v>1</v>
      </c>
      <c r="G112" s="46">
        <v>0</v>
      </c>
      <c r="H112" s="5"/>
    </row>
    <row r="113" spans="1:8" x14ac:dyDescent="0.25">
      <c r="A113" s="64"/>
      <c r="B113" s="15" t="s">
        <v>403</v>
      </c>
      <c r="C113" s="132" t="s">
        <v>791</v>
      </c>
      <c r="D113" s="133"/>
      <c r="E113" s="15"/>
      <c r="F113" s="43"/>
      <c r="G113" s="72"/>
      <c r="H113" s="5"/>
    </row>
    <row r="114" spans="1:8" x14ac:dyDescent="0.25">
      <c r="A114" s="4" t="s">
        <v>67</v>
      </c>
      <c r="B114" s="14" t="s">
        <v>404</v>
      </c>
      <c r="C114" s="130" t="s">
        <v>792</v>
      </c>
      <c r="D114" s="131"/>
      <c r="E114" s="14" t="s">
        <v>1170</v>
      </c>
      <c r="F114" s="24">
        <v>1</v>
      </c>
      <c r="G114" s="46">
        <v>0</v>
      </c>
      <c r="H114" s="5"/>
    </row>
    <row r="115" spans="1:8" x14ac:dyDescent="0.25">
      <c r="A115" s="4" t="s">
        <v>68</v>
      </c>
      <c r="B115" s="14" t="s">
        <v>405</v>
      </c>
      <c r="C115" s="130" t="s">
        <v>793</v>
      </c>
      <c r="D115" s="131"/>
      <c r="E115" s="14" t="s">
        <v>1165</v>
      </c>
      <c r="F115" s="24">
        <v>2.5</v>
      </c>
      <c r="G115" s="46">
        <v>0</v>
      </c>
      <c r="H115" s="5"/>
    </row>
    <row r="116" spans="1:8" x14ac:dyDescent="0.25">
      <c r="A116" s="4" t="s">
        <v>69</v>
      </c>
      <c r="B116" s="14" t="s">
        <v>406</v>
      </c>
      <c r="C116" s="130" t="s">
        <v>794</v>
      </c>
      <c r="D116" s="131"/>
      <c r="E116" s="14" t="s">
        <v>1165</v>
      </c>
      <c r="F116" s="24">
        <v>7</v>
      </c>
      <c r="G116" s="46">
        <v>0</v>
      </c>
      <c r="H116" s="5"/>
    </row>
    <row r="117" spans="1:8" x14ac:dyDescent="0.25">
      <c r="A117" s="4" t="s">
        <v>70</v>
      </c>
      <c r="B117" s="14" t="s">
        <v>407</v>
      </c>
      <c r="C117" s="130" t="s">
        <v>795</v>
      </c>
      <c r="D117" s="131"/>
      <c r="E117" s="14" t="s">
        <v>1165</v>
      </c>
      <c r="F117" s="24">
        <v>7</v>
      </c>
      <c r="G117" s="46">
        <v>0</v>
      </c>
      <c r="H117" s="5"/>
    </row>
    <row r="118" spans="1:8" x14ac:dyDescent="0.25">
      <c r="A118" s="4" t="s">
        <v>71</v>
      </c>
      <c r="B118" s="14" t="s">
        <v>408</v>
      </c>
      <c r="C118" s="130" t="s">
        <v>796</v>
      </c>
      <c r="D118" s="131"/>
      <c r="E118" s="14" t="s">
        <v>1170</v>
      </c>
      <c r="F118" s="24">
        <v>1</v>
      </c>
      <c r="G118" s="46">
        <v>0</v>
      </c>
      <c r="H118" s="5"/>
    </row>
    <row r="119" spans="1:8" x14ac:dyDescent="0.25">
      <c r="A119" s="7" t="s">
        <v>72</v>
      </c>
      <c r="B119" s="16" t="s">
        <v>409</v>
      </c>
      <c r="C119" s="134" t="s">
        <v>797</v>
      </c>
      <c r="D119" s="135"/>
      <c r="E119" s="16" t="s">
        <v>1170</v>
      </c>
      <c r="F119" s="26">
        <v>1</v>
      </c>
      <c r="G119" s="48">
        <v>0</v>
      </c>
      <c r="H119" s="5"/>
    </row>
    <row r="120" spans="1:8" x14ac:dyDescent="0.25">
      <c r="A120" s="64"/>
      <c r="B120" s="15" t="s">
        <v>410</v>
      </c>
      <c r="C120" s="132" t="s">
        <v>798</v>
      </c>
      <c r="D120" s="133"/>
      <c r="E120" s="15"/>
      <c r="F120" s="43"/>
      <c r="G120" s="72"/>
      <c r="H120" s="5"/>
    </row>
    <row r="121" spans="1:8" x14ac:dyDescent="0.25">
      <c r="A121" s="4" t="s">
        <v>73</v>
      </c>
      <c r="B121" s="14" t="s">
        <v>411</v>
      </c>
      <c r="C121" s="130" t="s">
        <v>799</v>
      </c>
      <c r="D121" s="131"/>
      <c r="E121" s="14" t="s">
        <v>1170</v>
      </c>
      <c r="F121" s="24">
        <v>3</v>
      </c>
      <c r="G121" s="46">
        <v>0</v>
      </c>
      <c r="H121" s="5"/>
    </row>
    <row r="122" spans="1:8" x14ac:dyDescent="0.25">
      <c r="A122" s="4" t="s">
        <v>74</v>
      </c>
      <c r="B122" s="14" t="s">
        <v>412</v>
      </c>
      <c r="C122" s="130" t="s">
        <v>800</v>
      </c>
      <c r="D122" s="131"/>
      <c r="E122" s="14" t="s">
        <v>1165</v>
      </c>
      <c r="F122" s="24">
        <v>4</v>
      </c>
      <c r="G122" s="46">
        <v>0</v>
      </c>
      <c r="H122" s="5"/>
    </row>
    <row r="123" spans="1:8" x14ac:dyDescent="0.25">
      <c r="A123" s="4" t="s">
        <v>75</v>
      </c>
      <c r="B123" s="14" t="s">
        <v>413</v>
      </c>
      <c r="C123" s="130" t="s">
        <v>801</v>
      </c>
      <c r="D123" s="131"/>
      <c r="E123" s="14" t="s">
        <v>1165</v>
      </c>
      <c r="F123" s="24">
        <v>4</v>
      </c>
      <c r="G123" s="46">
        <v>0</v>
      </c>
      <c r="H123" s="5"/>
    </row>
    <row r="124" spans="1:8" x14ac:dyDescent="0.25">
      <c r="A124" s="4" t="s">
        <v>76</v>
      </c>
      <c r="B124" s="14" t="s">
        <v>414</v>
      </c>
      <c r="C124" s="130" t="s">
        <v>802</v>
      </c>
      <c r="D124" s="131"/>
      <c r="E124" s="14" t="s">
        <v>1165</v>
      </c>
      <c r="F124" s="24">
        <v>8</v>
      </c>
      <c r="G124" s="46">
        <v>0</v>
      </c>
      <c r="H124" s="5"/>
    </row>
    <row r="125" spans="1:8" x14ac:dyDescent="0.25">
      <c r="A125" s="4" t="s">
        <v>77</v>
      </c>
      <c r="B125" s="14" t="s">
        <v>415</v>
      </c>
      <c r="C125" s="130" t="s">
        <v>803</v>
      </c>
      <c r="D125" s="131"/>
      <c r="E125" s="14" t="s">
        <v>1172</v>
      </c>
      <c r="F125" s="24">
        <v>1</v>
      </c>
      <c r="G125" s="46">
        <v>0</v>
      </c>
      <c r="H125" s="5"/>
    </row>
    <row r="126" spans="1:8" x14ac:dyDescent="0.25">
      <c r="A126" s="4" t="s">
        <v>78</v>
      </c>
      <c r="B126" s="14" t="s">
        <v>416</v>
      </c>
      <c r="C126" s="130" t="s">
        <v>804</v>
      </c>
      <c r="D126" s="131"/>
      <c r="E126" s="14" t="s">
        <v>1172</v>
      </c>
      <c r="F126" s="24">
        <v>2</v>
      </c>
      <c r="G126" s="46">
        <v>0</v>
      </c>
      <c r="H126" s="5"/>
    </row>
    <row r="127" spans="1:8" x14ac:dyDescent="0.25">
      <c r="A127" s="4" t="s">
        <v>79</v>
      </c>
      <c r="B127" s="14" t="s">
        <v>417</v>
      </c>
      <c r="C127" s="130" t="s">
        <v>805</v>
      </c>
      <c r="D127" s="131"/>
      <c r="E127" s="14" t="s">
        <v>1165</v>
      </c>
      <c r="F127" s="24">
        <v>6</v>
      </c>
      <c r="G127" s="46">
        <v>0</v>
      </c>
      <c r="H127" s="5"/>
    </row>
    <row r="128" spans="1:8" x14ac:dyDescent="0.25">
      <c r="A128" s="4" t="s">
        <v>80</v>
      </c>
      <c r="B128" s="14" t="s">
        <v>418</v>
      </c>
      <c r="C128" s="130" t="s">
        <v>806</v>
      </c>
      <c r="D128" s="131"/>
      <c r="E128" s="14" t="s">
        <v>1172</v>
      </c>
      <c r="F128" s="24">
        <v>1</v>
      </c>
      <c r="G128" s="46">
        <v>0</v>
      </c>
      <c r="H128" s="5"/>
    </row>
    <row r="129" spans="1:8" x14ac:dyDescent="0.25">
      <c r="A129" s="4" t="s">
        <v>81</v>
      </c>
      <c r="B129" s="14" t="s">
        <v>419</v>
      </c>
      <c r="C129" s="130" t="s">
        <v>807</v>
      </c>
      <c r="D129" s="131"/>
      <c r="E129" s="14" t="s">
        <v>1170</v>
      </c>
      <c r="F129" s="24">
        <v>2</v>
      </c>
      <c r="G129" s="46">
        <v>0</v>
      </c>
      <c r="H129" s="5"/>
    </row>
    <row r="130" spans="1:8" x14ac:dyDescent="0.25">
      <c r="A130" s="4" t="s">
        <v>82</v>
      </c>
      <c r="B130" s="14" t="s">
        <v>420</v>
      </c>
      <c r="C130" s="130" t="s">
        <v>808</v>
      </c>
      <c r="D130" s="131"/>
      <c r="E130" s="14" t="s">
        <v>1165</v>
      </c>
      <c r="F130" s="24">
        <v>8</v>
      </c>
      <c r="G130" s="46">
        <v>0</v>
      </c>
      <c r="H130" s="5"/>
    </row>
    <row r="131" spans="1:8" x14ac:dyDescent="0.25">
      <c r="A131" s="4" t="s">
        <v>83</v>
      </c>
      <c r="B131" s="14" t="s">
        <v>421</v>
      </c>
      <c r="C131" s="130" t="s">
        <v>809</v>
      </c>
      <c r="D131" s="131"/>
      <c r="E131" s="14" t="s">
        <v>1165</v>
      </c>
      <c r="F131" s="24">
        <v>8</v>
      </c>
      <c r="G131" s="46">
        <v>0</v>
      </c>
      <c r="H131" s="5"/>
    </row>
    <row r="132" spans="1:8" x14ac:dyDescent="0.25">
      <c r="A132" s="4" t="s">
        <v>84</v>
      </c>
      <c r="B132" s="14" t="s">
        <v>422</v>
      </c>
      <c r="C132" s="130" t="s">
        <v>810</v>
      </c>
      <c r="D132" s="131"/>
      <c r="E132" s="14" t="s">
        <v>1170</v>
      </c>
      <c r="F132" s="24">
        <v>1</v>
      </c>
      <c r="G132" s="46">
        <v>0</v>
      </c>
      <c r="H132" s="5"/>
    </row>
    <row r="133" spans="1:8" x14ac:dyDescent="0.25">
      <c r="A133" s="64"/>
      <c r="B133" s="15" t="s">
        <v>423</v>
      </c>
      <c r="C133" s="132" t="s">
        <v>811</v>
      </c>
      <c r="D133" s="133"/>
      <c r="E133" s="15"/>
      <c r="F133" s="43"/>
      <c r="G133" s="72"/>
      <c r="H133" s="5"/>
    </row>
    <row r="134" spans="1:8" x14ac:dyDescent="0.25">
      <c r="A134" s="4" t="s">
        <v>85</v>
      </c>
      <c r="B134" s="14" t="s">
        <v>424</v>
      </c>
      <c r="C134" s="130" t="s">
        <v>812</v>
      </c>
      <c r="D134" s="131"/>
      <c r="E134" s="14" t="s">
        <v>1165</v>
      </c>
      <c r="F134" s="24">
        <v>2</v>
      </c>
      <c r="G134" s="46">
        <v>0</v>
      </c>
      <c r="H134" s="5"/>
    </row>
    <row r="135" spans="1:8" x14ac:dyDescent="0.25">
      <c r="A135" s="4" t="s">
        <v>86</v>
      </c>
      <c r="B135" s="14" t="s">
        <v>425</v>
      </c>
      <c r="C135" s="130" t="s">
        <v>813</v>
      </c>
      <c r="D135" s="131"/>
      <c r="E135" s="14" t="s">
        <v>1165</v>
      </c>
      <c r="F135" s="24">
        <v>11</v>
      </c>
      <c r="G135" s="46">
        <v>0</v>
      </c>
      <c r="H135" s="5"/>
    </row>
    <row r="136" spans="1:8" x14ac:dyDescent="0.25">
      <c r="A136" s="4" t="s">
        <v>87</v>
      </c>
      <c r="B136" s="14" t="s">
        <v>426</v>
      </c>
      <c r="C136" s="130" t="s">
        <v>814</v>
      </c>
      <c r="D136" s="131"/>
      <c r="E136" s="14" t="s">
        <v>1165</v>
      </c>
      <c r="F136" s="24">
        <v>1</v>
      </c>
      <c r="G136" s="46">
        <v>0</v>
      </c>
      <c r="H136" s="5"/>
    </row>
    <row r="137" spans="1:8" x14ac:dyDescent="0.25">
      <c r="A137" s="4" t="s">
        <v>88</v>
      </c>
      <c r="B137" s="14" t="s">
        <v>427</v>
      </c>
      <c r="C137" s="130" t="s">
        <v>815</v>
      </c>
      <c r="D137" s="131"/>
      <c r="E137" s="14" t="s">
        <v>1165</v>
      </c>
      <c r="F137" s="24">
        <v>4</v>
      </c>
      <c r="G137" s="46">
        <v>0</v>
      </c>
      <c r="H137" s="5"/>
    </row>
    <row r="138" spans="1:8" x14ac:dyDescent="0.25">
      <c r="A138" s="4" t="s">
        <v>89</v>
      </c>
      <c r="B138" s="14" t="s">
        <v>428</v>
      </c>
      <c r="C138" s="130" t="s">
        <v>816</v>
      </c>
      <c r="D138" s="131"/>
      <c r="E138" s="14" t="s">
        <v>1165</v>
      </c>
      <c r="F138" s="24">
        <v>1</v>
      </c>
      <c r="G138" s="46">
        <v>0</v>
      </c>
      <c r="H138" s="5"/>
    </row>
    <row r="139" spans="1:8" x14ac:dyDescent="0.25">
      <c r="A139" s="4" t="s">
        <v>90</v>
      </c>
      <c r="B139" s="14" t="s">
        <v>429</v>
      </c>
      <c r="C139" s="130" t="s">
        <v>817</v>
      </c>
      <c r="D139" s="131"/>
      <c r="E139" s="14" t="s">
        <v>1165</v>
      </c>
      <c r="F139" s="24">
        <v>1</v>
      </c>
      <c r="G139" s="46">
        <v>0</v>
      </c>
      <c r="H139" s="5"/>
    </row>
    <row r="140" spans="1:8" x14ac:dyDescent="0.25">
      <c r="A140" s="4" t="s">
        <v>91</v>
      </c>
      <c r="B140" s="14" t="s">
        <v>430</v>
      </c>
      <c r="C140" s="130" t="s">
        <v>818</v>
      </c>
      <c r="D140" s="131"/>
      <c r="E140" s="14" t="s">
        <v>1165</v>
      </c>
      <c r="F140" s="24">
        <v>1</v>
      </c>
      <c r="G140" s="46">
        <v>0</v>
      </c>
      <c r="H140" s="5"/>
    </row>
    <row r="141" spans="1:8" x14ac:dyDescent="0.25">
      <c r="A141" s="4" t="s">
        <v>92</v>
      </c>
      <c r="B141" s="14" t="s">
        <v>431</v>
      </c>
      <c r="C141" s="130" t="s">
        <v>819</v>
      </c>
      <c r="D141" s="131"/>
      <c r="E141" s="14" t="s">
        <v>1170</v>
      </c>
      <c r="F141" s="24">
        <v>2</v>
      </c>
      <c r="G141" s="46">
        <v>0</v>
      </c>
      <c r="H141" s="5"/>
    </row>
    <row r="142" spans="1:8" x14ac:dyDescent="0.25">
      <c r="A142" s="4" t="s">
        <v>93</v>
      </c>
      <c r="B142" s="14" t="s">
        <v>432</v>
      </c>
      <c r="C142" s="130" t="s">
        <v>820</v>
      </c>
      <c r="D142" s="131"/>
      <c r="E142" s="14" t="s">
        <v>1170</v>
      </c>
      <c r="F142" s="24">
        <v>1</v>
      </c>
      <c r="G142" s="46">
        <v>0</v>
      </c>
      <c r="H142" s="5"/>
    </row>
    <row r="143" spans="1:8" x14ac:dyDescent="0.25">
      <c r="A143" s="4" t="s">
        <v>94</v>
      </c>
      <c r="B143" s="14" t="s">
        <v>433</v>
      </c>
      <c r="C143" s="130" t="s">
        <v>821</v>
      </c>
      <c r="D143" s="131"/>
      <c r="E143" s="14" t="s">
        <v>1170</v>
      </c>
      <c r="F143" s="24">
        <v>2</v>
      </c>
      <c r="G143" s="46">
        <v>0</v>
      </c>
      <c r="H143" s="5"/>
    </row>
    <row r="144" spans="1:8" x14ac:dyDescent="0.25">
      <c r="A144" s="4" t="s">
        <v>95</v>
      </c>
      <c r="B144" s="14" t="s">
        <v>434</v>
      </c>
      <c r="C144" s="130" t="s">
        <v>822</v>
      </c>
      <c r="D144" s="131"/>
      <c r="E144" s="14" t="s">
        <v>1170</v>
      </c>
      <c r="F144" s="24">
        <v>1</v>
      </c>
      <c r="G144" s="46">
        <v>0</v>
      </c>
      <c r="H144" s="5"/>
    </row>
    <row r="145" spans="1:8" x14ac:dyDescent="0.25">
      <c r="A145" s="4" t="s">
        <v>96</v>
      </c>
      <c r="B145" s="14" t="s">
        <v>435</v>
      </c>
      <c r="C145" s="130" t="s">
        <v>823</v>
      </c>
      <c r="D145" s="131"/>
      <c r="E145" s="14" t="s">
        <v>1170</v>
      </c>
      <c r="F145" s="24">
        <v>1</v>
      </c>
      <c r="G145" s="46">
        <v>0</v>
      </c>
      <c r="H145" s="5"/>
    </row>
    <row r="146" spans="1:8" x14ac:dyDescent="0.25">
      <c r="A146" s="4" t="s">
        <v>97</v>
      </c>
      <c r="B146" s="14" t="s">
        <v>436</v>
      </c>
      <c r="C146" s="130" t="s">
        <v>824</v>
      </c>
      <c r="D146" s="131"/>
      <c r="E146" s="14" t="s">
        <v>1165</v>
      </c>
      <c r="F146" s="24">
        <v>70</v>
      </c>
      <c r="G146" s="46">
        <v>0</v>
      </c>
      <c r="H146" s="5"/>
    </row>
    <row r="147" spans="1:8" x14ac:dyDescent="0.25">
      <c r="A147" s="4" t="s">
        <v>98</v>
      </c>
      <c r="B147" s="14" t="s">
        <v>437</v>
      </c>
      <c r="C147" s="130" t="s">
        <v>825</v>
      </c>
      <c r="D147" s="131"/>
      <c r="E147" s="14" t="s">
        <v>1170</v>
      </c>
      <c r="F147" s="24">
        <v>1</v>
      </c>
      <c r="G147" s="46">
        <v>0</v>
      </c>
      <c r="H147" s="5"/>
    </row>
    <row r="148" spans="1:8" x14ac:dyDescent="0.25">
      <c r="A148" s="4" t="s">
        <v>99</v>
      </c>
      <c r="B148" s="14" t="s">
        <v>438</v>
      </c>
      <c r="C148" s="130" t="s">
        <v>826</v>
      </c>
      <c r="D148" s="131"/>
      <c r="E148" s="14" t="s">
        <v>1170</v>
      </c>
      <c r="F148" s="24">
        <v>1</v>
      </c>
      <c r="G148" s="46">
        <v>0</v>
      </c>
      <c r="H148" s="5"/>
    </row>
    <row r="149" spans="1:8" x14ac:dyDescent="0.25">
      <c r="A149" s="4" t="s">
        <v>100</v>
      </c>
      <c r="B149" s="14" t="s">
        <v>439</v>
      </c>
      <c r="C149" s="130" t="s">
        <v>827</v>
      </c>
      <c r="D149" s="131"/>
      <c r="E149" s="14" t="s">
        <v>1170</v>
      </c>
      <c r="F149" s="24">
        <v>1</v>
      </c>
      <c r="G149" s="46">
        <v>0</v>
      </c>
      <c r="H149" s="5"/>
    </row>
    <row r="150" spans="1:8" x14ac:dyDescent="0.25">
      <c r="A150" s="4" t="s">
        <v>101</v>
      </c>
      <c r="B150" s="14" t="s">
        <v>440</v>
      </c>
      <c r="C150" s="130" t="s">
        <v>828</v>
      </c>
      <c r="D150" s="131"/>
      <c r="E150" s="14" t="s">
        <v>1170</v>
      </c>
      <c r="F150" s="24">
        <v>1</v>
      </c>
      <c r="G150" s="46">
        <v>0</v>
      </c>
      <c r="H150" s="5"/>
    </row>
    <row r="151" spans="1:8" ht="12.15" customHeight="1" x14ac:dyDescent="0.25">
      <c r="A151" s="4"/>
      <c r="B151" s="14"/>
      <c r="C151" s="65"/>
      <c r="D151" s="150" t="s">
        <v>1140</v>
      </c>
      <c r="E151" s="150"/>
      <c r="F151" s="67">
        <v>0</v>
      </c>
      <c r="G151" s="71"/>
      <c r="H151" s="5"/>
    </row>
    <row r="152" spans="1:8" x14ac:dyDescent="0.25">
      <c r="A152" s="4" t="s">
        <v>102</v>
      </c>
      <c r="B152" s="14" t="s">
        <v>441</v>
      </c>
      <c r="C152" s="130" t="s">
        <v>829</v>
      </c>
      <c r="D152" s="131"/>
      <c r="E152" s="14" t="s">
        <v>1170</v>
      </c>
      <c r="F152" s="24">
        <v>1</v>
      </c>
      <c r="G152" s="46">
        <v>0</v>
      </c>
      <c r="H152" s="5"/>
    </row>
    <row r="153" spans="1:8" x14ac:dyDescent="0.25">
      <c r="A153" s="64"/>
      <c r="B153" s="15" t="s">
        <v>442</v>
      </c>
      <c r="C153" s="132" t="s">
        <v>830</v>
      </c>
      <c r="D153" s="133"/>
      <c r="E153" s="15"/>
      <c r="F153" s="43"/>
      <c r="G153" s="72"/>
      <c r="H153" s="5"/>
    </row>
    <row r="154" spans="1:8" x14ac:dyDescent="0.25">
      <c r="A154" s="4" t="s">
        <v>103</v>
      </c>
      <c r="B154" s="14" t="s">
        <v>443</v>
      </c>
      <c r="C154" s="130" t="s">
        <v>831</v>
      </c>
      <c r="D154" s="131"/>
      <c r="E154" s="14" t="s">
        <v>1170</v>
      </c>
      <c r="F154" s="24">
        <v>3</v>
      </c>
      <c r="G154" s="46">
        <v>0</v>
      </c>
      <c r="H154" s="5"/>
    </row>
    <row r="155" spans="1:8" x14ac:dyDescent="0.25">
      <c r="A155" s="4" t="s">
        <v>104</v>
      </c>
      <c r="B155" s="14" t="s">
        <v>444</v>
      </c>
      <c r="C155" s="130" t="s">
        <v>832</v>
      </c>
      <c r="D155" s="131"/>
      <c r="E155" s="14" t="s">
        <v>1170</v>
      </c>
      <c r="F155" s="24">
        <v>2</v>
      </c>
      <c r="G155" s="46">
        <v>0</v>
      </c>
      <c r="H155" s="5"/>
    </row>
    <row r="156" spans="1:8" x14ac:dyDescent="0.25">
      <c r="A156" s="4" t="s">
        <v>105</v>
      </c>
      <c r="B156" s="14" t="s">
        <v>445</v>
      </c>
      <c r="C156" s="130" t="s">
        <v>833</v>
      </c>
      <c r="D156" s="131"/>
      <c r="E156" s="14" t="s">
        <v>1170</v>
      </c>
      <c r="F156" s="24">
        <v>1</v>
      </c>
      <c r="G156" s="46">
        <v>0</v>
      </c>
      <c r="H156" s="5"/>
    </row>
    <row r="157" spans="1:8" x14ac:dyDescent="0.25">
      <c r="A157" s="4" t="s">
        <v>106</v>
      </c>
      <c r="B157" s="14" t="s">
        <v>446</v>
      </c>
      <c r="C157" s="130" t="s">
        <v>834</v>
      </c>
      <c r="D157" s="131"/>
      <c r="E157" s="14" t="s">
        <v>1170</v>
      </c>
      <c r="F157" s="24">
        <v>2</v>
      </c>
      <c r="G157" s="46">
        <v>0</v>
      </c>
      <c r="H157" s="5"/>
    </row>
    <row r="158" spans="1:8" x14ac:dyDescent="0.25">
      <c r="A158" s="7" t="s">
        <v>107</v>
      </c>
      <c r="B158" s="16" t="s">
        <v>447</v>
      </c>
      <c r="C158" s="134" t="s">
        <v>835</v>
      </c>
      <c r="D158" s="135"/>
      <c r="E158" s="16" t="s">
        <v>1170</v>
      </c>
      <c r="F158" s="26">
        <v>1</v>
      </c>
      <c r="G158" s="48">
        <v>0</v>
      </c>
      <c r="H158" s="5"/>
    </row>
    <row r="159" spans="1:8" x14ac:dyDescent="0.25">
      <c r="A159" s="7" t="s">
        <v>108</v>
      </c>
      <c r="B159" s="16" t="s">
        <v>447</v>
      </c>
      <c r="C159" s="134" t="s">
        <v>836</v>
      </c>
      <c r="D159" s="135"/>
      <c r="E159" s="16" t="s">
        <v>1170</v>
      </c>
      <c r="F159" s="26">
        <v>1</v>
      </c>
      <c r="G159" s="48">
        <v>0</v>
      </c>
      <c r="H159" s="5"/>
    </row>
    <row r="160" spans="1:8" x14ac:dyDescent="0.25">
      <c r="A160" s="7" t="s">
        <v>109</v>
      </c>
      <c r="B160" s="16" t="s">
        <v>448</v>
      </c>
      <c r="C160" s="134" t="s">
        <v>837</v>
      </c>
      <c r="D160" s="135"/>
      <c r="E160" s="16" t="s">
        <v>1170</v>
      </c>
      <c r="F160" s="26">
        <v>2</v>
      </c>
      <c r="G160" s="48">
        <v>0</v>
      </c>
      <c r="H160" s="5"/>
    </row>
    <row r="161" spans="1:8" x14ac:dyDescent="0.25">
      <c r="A161" s="4" t="s">
        <v>110</v>
      </c>
      <c r="B161" s="14" t="s">
        <v>449</v>
      </c>
      <c r="C161" s="130" t="s">
        <v>838</v>
      </c>
      <c r="D161" s="131"/>
      <c r="E161" s="14" t="s">
        <v>1170</v>
      </c>
      <c r="F161" s="24">
        <v>2</v>
      </c>
      <c r="G161" s="46">
        <v>0</v>
      </c>
      <c r="H161" s="5"/>
    </row>
    <row r="162" spans="1:8" ht="12.15" customHeight="1" x14ac:dyDescent="0.25">
      <c r="A162" s="4"/>
      <c r="B162" s="14"/>
      <c r="C162" s="65" t="s">
        <v>8</v>
      </c>
      <c r="D162" s="150" t="s">
        <v>1141</v>
      </c>
      <c r="E162" s="150"/>
      <c r="F162" s="67">
        <v>2</v>
      </c>
      <c r="G162" s="71"/>
      <c r="H162" s="5"/>
    </row>
    <row r="163" spans="1:8" x14ac:dyDescent="0.25">
      <c r="A163" s="4" t="s">
        <v>111</v>
      </c>
      <c r="B163" s="14" t="s">
        <v>450</v>
      </c>
      <c r="C163" s="130" t="s">
        <v>839</v>
      </c>
      <c r="D163" s="131"/>
      <c r="E163" s="14" t="s">
        <v>1170</v>
      </c>
      <c r="F163" s="24">
        <v>2</v>
      </c>
      <c r="G163" s="46">
        <v>0</v>
      </c>
      <c r="H163" s="5"/>
    </row>
    <row r="164" spans="1:8" x14ac:dyDescent="0.25">
      <c r="A164" s="7" t="s">
        <v>112</v>
      </c>
      <c r="B164" s="16" t="s">
        <v>451</v>
      </c>
      <c r="C164" s="134" t="s">
        <v>840</v>
      </c>
      <c r="D164" s="135"/>
      <c r="E164" s="16" t="s">
        <v>1170</v>
      </c>
      <c r="F164" s="26">
        <v>2</v>
      </c>
      <c r="G164" s="48">
        <v>0</v>
      </c>
      <c r="H164" s="5"/>
    </row>
    <row r="165" spans="1:8" x14ac:dyDescent="0.25">
      <c r="A165" s="7" t="s">
        <v>113</v>
      </c>
      <c r="B165" s="16" t="s">
        <v>452</v>
      </c>
      <c r="C165" s="134" t="s">
        <v>841</v>
      </c>
      <c r="D165" s="135"/>
      <c r="E165" s="16" t="s">
        <v>1170</v>
      </c>
      <c r="F165" s="26">
        <v>2</v>
      </c>
      <c r="G165" s="48">
        <v>0</v>
      </c>
      <c r="H165" s="5"/>
    </row>
    <row r="166" spans="1:8" x14ac:dyDescent="0.25">
      <c r="A166" s="7" t="s">
        <v>114</v>
      </c>
      <c r="B166" s="16" t="s">
        <v>453</v>
      </c>
      <c r="C166" s="134" t="s">
        <v>842</v>
      </c>
      <c r="D166" s="135"/>
      <c r="E166" s="16" t="s">
        <v>1170</v>
      </c>
      <c r="F166" s="26">
        <v>2</v>
      </c>
      <c r="G166" s="48">
        <v>0</v>
      </c>
      <c r="H166" s="5"/>
    </row>
    <row r="167" spans="1:8" x14ac:dyDescent="0.25">
      <c r="A167" s="7" t="s">
        <v>115</v>
      </c>
      <c r="B167" s="16" t="s">
        <v>454</v>
      </c>
      <c r="C167" s="134" t="s">
        <v>843</v>
      </c>
      <c r="D167" s="135"/>
      <c r="E167" s="16" t="s">
        <v>1170</v>
      </c>
      <c r="F167" s="26">
        <v>1</v>
      </c>
      <c r="G167" s="48">
        <v>0</v>
      </c>
      <c r="H167" s="5"/>
    </row>
    <row r="168" spans="1:8" x14ac:dyDescent="0.25">
      <c r="A168" s="7" t="s">
        <v>116</v>
      </c>
      <c r="B168" s="16" t="s">
        <v>455</v>
      </c>
      <c r="C168" s="134" t="s">
        <v>844</v>
      </c>
      <c r="D168" s="135"/>
      <c r="E168" s="16" t="s">
        <v>1170</v>
      </c>
      <c r="F168" s="26">
        <v>1</v>
      </c>
      <c r="G168" s="48">
        <v>0</v>
      </c>
      <c r="H168" s="5"/>
    </row>
    <row r="169" spans="1:8" x14ac:dyDescent="0.25">
      <c r="A169" s="7" t="s">
        <v>117</v>
      </c>
      <c r="B169" s="16" t="s">
        <v>456</v>
      </c>
      <c r="C169" s="134" t="s">
        <v>845</v>
      </c>
      <c r="D169" s="135"/>
      <c r="E169" s="16" t="s">
        <v>1170</v>
      </c>
      <c r="F169" s="26">
        <v>2</v>
      </c>
      <c r="G169" s="48">
        <v>0</v>
      </c>
      <c r="H169" s="5"/>
    </row>
    <row r="170" spans="1:8" x14ac:dyDescent="0.25">
      <c r="A170" s="7" t="s">
        <v>118</v>
      </c>
      <c r="B170" s="16" t="s">
        <v>457</v>
      </c>
      <c r="C170" s="134" t="s">
        <v>846</v>
      </c>
      <c r="D170" s="135"/>
      <c r="E170" s="16" t="s">
        <v>1170</v>
      </c>
      <c r="F170" s="26">
        <v>3</v>
      </c>
      <c r="G170" s="48">
        <v>0</v>
      </c>
      <c r="H170" s="5"/>
    </row>
    <row r="171" spans="1:8" x14ac:dyDescent="0.25">
      <c r="A171" s="7" t="s">
        <v>119</v>
      </c>
      <c r="B171" s="16" t="s">
        <v>458</v>
      </c>
      <c r="C171" s="134" t="s">
        <v>847</v>
      </c>
      <c r="D171" s="135"/>
      <c r="E171" s="16" t="s">
        <v>1170</v>
      </c>
      <c r="F171" s="26">
        <v>2</v>
      </c>
      <c r="G171" s="48">
        <v>0</v>
      </c>
      <c r="H171" s="5"/>
    </row>
    <row r="172" spans="1:8" x14ac:dyDescent="0.25">
      <c r="A172" s="7" t="s">
        <v>120</v>
      </c>
      <c r="B172" s="16" t="s">
        <v>459</v>
      </c>
      <c r="C172" s="134" t="s">
        <v>848</v>
      </c>
      <c r="D172" s="135"/>
      <c r="E172" s="16" t="s">
        <v>1170</v>
      </c>
      <c r="F172" s="26">
        <v>25</v>
      </c>
      <c r="G172" s="48">
        <v>0</v>
      </c>
      <c r="H172" s="5"/>
    </row>
    <row r="173" spans="1:8" x14ac:dyDescent="0.25">
      <c r="A173" s="7" t="s">
        <v>121</v>
      </c>
      <c r="B173" s="16" t="s">
        <v>460</v>
      </c>
      <c r="C173" s="134" t="s">
        <v>849</v>
      </c>
      <c r="D173" s="135"/>
      <c r="E173" s="16" t="s">
        <v>1170</v>
      </c>
      <c r="F173" s="26">
        <v>2</v>
      </c>
      <c r="G173" s="48">
        <v>0</v>
      </c>
      <c r="H173" s="5"/>
    </row>
    <row r="174" spans="1:8" x14ac:dyDescent="0.25">
      <c r="A174" s="7" t="s">
        <v>122</v>
      </c>
      <c r="B174" s="16" t="s">
        <v>461</v>
      </c>
      <c r="C174" s="134" t="s">
        <v>850</v>
      </c>
      <c r="D174" s="135"/>
      <c r="E174" s="16" t="s">
        <v>1170</v>
      </c>
      <c r="F174" s="26">
        <v>2</v>
      </c>
      <c r="G174" s="48">
        <v>0</v>
      </c>
      <c r="H174" s="5"/>
    </row>
    <row r="175" spans="1:8" x14ac:dyDescent="0.25">
      <c r="A175" s="7" t="s">
        <v>123</v>
      </c>
      <c r="B175" s="16" t="s">
        <v>462</v>
      </c>
      <c r="C175" s="134" t="s">
        <v>851</v>
      </c>
      <c r="D175" s="135"/>
      <c r="E175" s="16" t="s">
        <v>1170</v>
      </c>
      <c r="F175" s="26">
        <v>2</v>
      </c>
      <c r="G175" s="48">
        <v>0</v>
      </c>
      <c r="H175" s="5"/>
    </row>
    <row r="176" spans="1:8" x14ac:dyDescent="0.25">
      <c r="A176" s="7" t="s">
        <v>124</v>
      </c>
      <c r="B176" s="16" t="s">
        <v>463</v>
      </c>
      <c r="C176" s="134" t="s">
        <v>852</v>
      </c>
      <c r="D176" s="135"/>
      <c r="E176" s="16" t="s">
        <v>1170</v>
      </c>
      <c r="F176" s="26">
        <v>2</v>
      </c>
      <c r="G176" s="48">
        <v>0</v>
      </c>
      <c r="H176" s="5"/>
    </row>
    <row r="177" spans="1:8" x14ac:dyDescent="0.25">
      <c r="A177" s="7" t="s">
        <v>125</v>
      </c>
      <c r="B177" s="16" t="s">
        <v>464</v>
      </c>
      <c r="C177" s="134" t="s">
        <v>853</v>
      </c>
      <c r="D177" s="135"/>
      <c r="E177" s="16" t="s">
        <v>1170</v>
      </c>
      <c r="F177" s="26">
        <v>4</v>
      </c>
      <c r="G177" s="48">
        <v>0</v>
      </c>
      <c r="H177" s="5"/>
    </row>
    <row r="178" spans="1:8" x14ac:dyDescent="0.25">
      <c r="A178" s="7" t="s">
        <v>126</v>
      </c>
      <c r="B178" s="16" t="s">
        <v>465</v>
      </c>
      <c r="C178" s="134" t="s">
        <v>854</v>
      </c>
      <c r="D178" s="135"/>
      <c r="E178" s="16" t="s">
        <v>1170</v>
      </c>
      <c r="F178" s="26">
        <v>4</v>
      </c>
      <c r="G178" s="48">
        <v>0</v>
      </c>
      <c r="H178" s="5"/>
    </row>
    <row r="179" spans="1:8" x14ac:dyDescent="0.25">
      <c r="A179" s="7" t="s">
        <v>127</v>
      </c>
      <c r="B179" s="16" t="s">
        <v>466</v>
      </c>
      <c r="C179" s="134" t="s">
        <v>855</v>
      </c>
      <c r="D179" s="135"/>
      <c r="E179" s="16" t="s">
        <v>1170</v>
      </c>
      <c r="F179" s="26">
        <v>2</v>
      </c>
      <c r="G179" s="48">
        <v>0</v>
      </c>
      <c r="H179" s="5"/>
    </row>
    <row r="180" spans="1:8" x14ac:dyDescent="0.25">
      <c r="A180" s="7" t="s">
        <v>128</v>
      </c>
      <c r="B180" s="16" t="s">
        <v>467</v>
      </c>
      <c r="C180" s="134" t="s">
        <v>856</v>
      </c>
      <c r="D180" s="135"/>
      <c r="E180" s="16" t="s">
        <v>1171</v>
      </c>
      <c r="F180" s="26">
        <v>4</v>
      </c>
      <c r="G180" s="48">
        <v>0</v>
      </c>
      <c r="H180" s="5"/>
    </row>
    <row r="181" spans="1:8" x14ac:dyDescent="0.25">
      <c r="A181" s="7" t="s">
        <v>129</v>
      </c>
      <c r="B181" s="16" t="s">
        <v>466</v>
      </c>
      <c r="C181" s="134" t="s">
        <v>857</v>
      </c>
      <c r="D181" s="135"/>
      <c r="E181" s="16" t="s">
        <v>1171</v>
      </c>
      <c r="F181" s="26">
        <v>1</v>
      </c>
      <c r="G181" s="48">
        <v>0</v>
      </c>
      <c r="H181" s="5"/>
    </row>
    <row r="182" spans="1:8" x14ac:dyDescent="0.25">
      <c r="A182" s="7" t="s">
        <v>130</v>
      </c>
      <c r="B182" s="16" t="s">
        <v>466</v>
      </c>
      <c r="C182" s="134" t="s">
        <v>858</v>
      </c>
      <c r="D182" s="135"/>
      <c r="E182" s="16" t="s">
        <v>1171</v>
      </c>
      <c r="F182" s="26">
        <v>1</v>
      </c>
      <c r="G182" s="48">
        <v>0</v>
      </c>
      <c r="H182" s="5"/>
    </row>
    <row r="183" spans="1:8" x14ac:dyDescent="0.25">
      <c r="A183" s="7" t="s">
        <v>131</v>
      </c>
      <c r="B183" s="16" t="s">
        <v>468</v>
      </c>
      <c r="C183" s="134" t="s">
        <v>859</v>
      </c>
      <c r="D183" s="135"/>
      <c r="E183" s="16" t="s">
        <v>1171</v>
      </c>
      <c r="F183" s="26">
        <v>2</v>
      </c>
      <c r="G183" s="48">
        <v>0</v>
      </c>
      <c r="H183" s="5"/>
    </row>
    <row r="184" spans="1:8" x14ac:dyDescent="0.25">
      <c r="A184" s="4" t="s">
        <v>132</v>
      </c>
      <c r="B184" s="14" t="s">
        <v>469</v>
      </c>
      <c r="C184" s="130" t="s">
        <v>860</v>
      </c>
      <c r="D184" s="131"/>
      <c r="E184" s="14" t="s">
        <v>1170</v>
      </c>
      <c r="F184" s="24">
        <v>1</v>
      </c>
      <c r="G184" s="46">
        <v>0</v>
      </c>
      <c r="H184" s="5"/>
    </row>
    <row r="185" spans="1:8" x14ac:dyDescent="0.25">
      <c r="A185" s="7" t="s">
        <v>133</v>
      </c>
      <c r="B185" s="16" t="s">
        <v>470</v>
      </c>
      <c r="C185" s="134" t="s">
        <v>861</v>
      </c>
      <c r="D185" s="135"/>
      <c r="E185" s="16" t="s">
        <v>1170</v>
      </c>
      <c r="F185" s="26">
        <v>1</v>
      </c>
      <c r="G185" s="48">
        <v>0</v>
      </c>
      <c r="H185" s="5"/>
    </row>
    <row r="186" spans="1:8" x14ac:dyDescent="0.25">
      <c r="A186" s="7" t="s">
        <v>134</v>
      </c>
      <c r="B186" s="16" t="s">
        <v>471</v>
      </c>
      <c r="C186" s="134" t="s">
        <v>862</v>
      </c>
      <c r="D186" s="135"/>
      <c r="E186" s="16" t="s">
        <v>1170</v>
      </c>
      <c r="F186" s="26">
        <v>1</v>
      </c>
      <c r="G186" s="48">
        <v>0</v>
      </c>
      <c r="H186" s="5"/>
    </row>
    <row r="187" spans="1:8" x14ac:dyDescent="0.25">
      <c r="A187" s="64"/>
      <c r="B187" s="15" t="s">
        <v>472</v>
      </c>
      <c r="C187" s="132" t="s">
        <v>863</v>
      </c>
      <c r="D187" s="133"/>
      <c r="E187" s="15"/>
      <c r="F187" s="43"/>
      <c r="G187" s="72"/>
      <c r="H187" s="5"/>
    </row>
    <row r="188" spans="1:8" x14ac:dyDescent="0.25">
      <c r="A188" s="4" t="s">
        <v>135</v>
      </c>
      <c r="B188" s="14" t="s">
        <v>473</v>
      </c>
      <c r="C188" s="130" t="s">
        <v>864</v>
      </c>
      <c r="D188" s="131"/>
      <c r="E188" s="14" t="s">
        <v>1170</v>
      </c>
      <c r="F188" s="24">
        <v>1</v>
      </c>
      <c r="G188" s="46">
        <v>0</v>
      </c>
      <c r="H188" s="5"/>
    </row>
    <row r="189" spans="1:8" x14ac:dyDescent="0.25">
      <c r="A189" s="4" t="s">
        <v>136</v>
      </c>
      <c r="B189" s="14" t="s">
        <v>474</v>
      </c>
      <c r="C189" s="130" t="s">
        <v>865</v>
      </c>
      <c r="D189" s="131"/>
      <c r="E189" s="14" t="s">
        <v>1170</v>
      </c>
      <c r="F189" s="24">
        <v>2</v>
      </c>
      <c r="G189" s="46">
        <v>0</v>
      </c>
      <c r="H189" s="5"/>
    </row>
    <row r="190" spans="1:8" x14ac:dyDescent="0.25">
      <c r="A190" s="4" t="s">
        <v>137</v>
      </c>
      <c r="B190" s="14" t="s">
        <v>475</v>
      </c>
      <c r="C190" s="130" t="s">
        <v>866</v>
      </c>
      <c r="D190" s="131"/>
      <c r="E190" s="14" t="s">
        <v>1165</v>
      </c>
      <c r="F190" s="24">
        <v>6</v>
      </c>
      <c r="G190" s="46">
        <v>0</v>
      </c>
      <c r="H190" s="5"/>
    </row>
    <row r="191" spans="1:8" x14ac:dyDescent="0.25">
      <c r="A191" s="4" t="s">
        <v>138</v>
      </c>
      <c r="B191" s="14" t="s">
        <v>476</v>
      </c>
      <c r="C191" s="130" t="s">
        <v>867</v>
      </c>
      <c r="D191" s="131"/>
      <c r="E191" s="14" t="s">
        <v>1170</v>
      </c>
      <c r="F191" s="24">
        <v>1</v>
      </c>
      <c r="G191" s="46">
        <v>0</v>
      </c>
      <c r="H191" s="5"/>
    </row>
    <row r="192" spans="1:8" x14ac:dyDescent="0.25">
      <c r="A192" s="4" t="s">
        <v>139</v>
      </c>
      <c r="B192" s="14" t="s">
        <v>477</v>
      </c>
      <c r="C192" s="130" t="s">
        <v>868</v>
      </c>
      <c r="D192" s="131"/>
      <c r="E192" s="14" t="s">
        <v>1170</v>
      </c>
      <c r="F192" s="24">
        <v>1</v>
      </c>
      <c r="G192" s="46">
        <v>0</v>
      </c>
      <c r="H192" s="5"/>
    </row>
    <row r="193" spans="1:8" x14ac:dyDescent="0.25">
      <c r="A193" s="4" t="s">
        <v>140</v>
      </c>
      <c r="B193" s="14" t="s">
        <v>478</v>
      </c>
      <c r="C193" s="130" t="s">
        <v>869</v>
      </c>
      <c r="D193" s="131"/>
      <c r="E193" s="14" t="s">
        <v>1170</v>
      </c>
      <c r="F193" s="24">
        <v>1</v>
      </c>
      <c r="G193" s="46">
        <v>0</v>
      </c>
      <c r="H193" s="5"/>
    </row>
    <row r="194" spans="1:8" x14ac:dyDescent="0.25">
      <c r="A194" s="4" t="s">
        <v>141</v>
      </c>
      <c r="B194" s="14" t="s">
        <v>479</v>
      </c>
      <c r="C194" s="130" t="s">
        <v>870</v>
      </c>
      <c r="D194" s="131"/>
      <c r="E194" s="14" t="s">
        <v>1170</v>
      </c>
      <c r="F194" s="24">
        <v>1</v>
      </c>
      <c r="G194" s="46">
        <v>0</v>
      </c>
      <c r="H194" s="5"/>
    </row>
    <row r="195" spans="1:8" ht="12.15" customHeight="1" x14ac:dyDescent="0.25">
      <c r="A195" s="4"/>
      <c r="B195" s="14"/>
      <c r="C195" s="65" t="s">
        <v>7</v>
      </c>
      <c r="D195" s="150" t="s">
        <v>1142</v>
      </c>
      <c r="E195" s="150"/>
      <c r="F195" s="67">
        <v>1</v>
      </c>
      <c r="G195" s="71"/>
      <c r="H195" s="5"/>
    </row>
    <row r="196" spans="1:8" x14ac:dyDescent="0.25">
      <c r="A196" s="4" t="s">
        <v>142</v>
      </c>
      <c r="B196" s="14" t="s">
        <v>480</v>
      </c>
      <c r="C196" s="130" t="s">
        <v>871</v>
      </c>
      <c r="D196" s="131"/>
      <c r="E196" s="14" t="s">
        <v>1170</v>
      </c>
      <c r="F196" s="24">
        <v>1</v>
      </c>
      <c r="G196" s="46">
        <v>0</v>
      </c>
      <c r="H196" s="5"/>
    </row>
    <row r="197" spans="1:8" ht="12.15" customHeight="1" x14ac:dyDescent="0.25">
      <c r="A197" s="4"/>
      <c r="B197" s="14"/>
      <c r="C197" s="65" t="s">
        <v>7</v>
      </c>
      <c r="D197" s="150" t="s">
        <v>1143</v>
      </c>
      <c r="E197" s="150"/>
      <c r="F197" s="67">
        <v>1</v>
      </c>
      <c r="G197" s="71"/>
      <c r="H197" s="5"/>
    </row>
    <row r="198" spans="1:8" x14ac:dyDescent="0.25">
      <c r="A198" s="4" t="s">
        <v>143</v>
      </c>
      <c r="B198" s="14" t="s">
        <v>481</v>
      </c>
      <c r="C198" s="130" t="s">
        <v>872</v>
      </c>
      <c r="D198" s="131"/>
      <c r="E198" s="14" t="s">
        <v>1170</v>
      </c>
      <c r="F198" s="24">
        <v>2</v>
      </c>
      <c r="G198" s="46">
        <v>0</v>
      </c>
      <c r="H198" s="5"/>
    </row>
    <row r="199" spans="1:8" x14ac:dyDescent="0.25">
      <c r="A199" s="4" t="s">
        <v>144</v>
      </c>
      <c r="B199" s="14" t="s">
        <v>482</v>
      </c>
      <c r="C199" s="130" t="s">
        <v>873</v>
      </c>
      <c r="D199" s="131"/>
      <c r="E199" s="14" t="s">
        <v>1170</v>
      </c>
      <c r="F199" s="24">
        <v>2</v>
      </c>
      <c r="G199" s="46">
        <v>0</v>
      </c>
      <c r="H199" s="5"/>
    </row>
    <row r="200" spans="1:8" x14ac:dyDescent="0.25">
      <c r="A200" s="4" t="s">
        <v>145</v>
      </c>
      <c r="B200" s="14" t="s">
        <v>483</v>
      </c>
      <c r="C200" s="130" t="s">
        <v>874</v>
      </c>
      <c r="D200" s="131"/>
      <c r="E200" s="14" t="s">
        <v>1170</v>
      </c>
      <c r="F200" s="24">
        <v>2</v>
      </c>
      <c r="G200" s="46">
        <v>0</v>
      </c>
      <c r="H200" s="5"/>
    </row>
    <row r="201" spans="1:8" x14ac:dyDescent="0.25">
      <c r="A201" s="4" t="s">
        <v>146</v>
      </c>
      <c r="B201" s="14" t="s">
        <v>483</v>
      </c>
      <c r="C201" s="130" t="s">
        <v>875</v>
      </c>
      <c r="D201" s="131"/>
      <c r="E201" s="14" t="s">
        <v>1170</v>
      </c>
      <c r="F201" s="24">
        <v>2</v>
      </c>
      <c r="G201" s="46">
        <v>0</v>
      </c>
      <c r="H201" s="5"/>
    </row>
    <row r="202" spans="1:8" x14ac:dyDescent="0.25">
      <c r="A202" s="4" t="s">
        <v>147</v>
      </c>
      <c r="B202" s="14" t="s">
        <v>483</v>
      </c>
      <c r="C202" s="130" t="s">
        <v>876</v>
      </c>
      <c r="D202" s="131"/>
      <c r="E202" s="14" t="s">
        <v>1170</v>
      </c>
      <c r="F202" s="24">
        <v>1</v>
      </c>
      <c r="G202" s="46">
        <v>0</v>
      </c>
      <c r="H202" s="5"/>
    </row>
    <row r="203" spans="1:8" x14ac:dyDescent="0.25">
      <c r="A203" s="4" t="s">
        <v>148</v>
      </c>
      <c r="B203" s="14" t="s">
        <v>483</v>
      </c>
      <c r="C203" s="130" t="s">
        <v>877</v>
      </c>
      <c r="D203" s="131"/>
      <c r="E203" s="14" t="s">
        <v>1170</v>
      </c>
      <c r="F203" s="24">
        <v>1</v>
      </c>
      <c r="G203" s="46">
        <v>0</v>
      </c>
      <c r="H203" s="5"/>
    </row>
    <row r="204" spans="1:8" x14ac:dyDescent="0.25">
      <c r="A204" s="4" t="s">
        <v>149</v>
      </c>
      <c r="B204" s="14" t="s">
        <v>484</v>
      </c>
      <c r="C204" s="130" t="s">
        <v>878</v>
      </c>
      <c r="D204" s="131"/>
      <c r="E204" s="14" t="s">
        <v>1170</v>
      </c>
      <c r="F204" s="24">
        <v>1</v>
      </c>
      <c r="G204" s="46">
        <v>0</v>
      </c>
      <c r="H204" s="5"/>
    </row>
    <row r="205" spans="1:8" ht="12.15" customHeight="1" x14ac:dyDescent="0.25">
      <c r="A205" s="4"/>
      <c r="B205" s="14"/>
      <c r="C205" s="65" t="s">
        <v>7</v>
      </c>
      <c r="D205" s="150" t="s">
        <v>1144</v>
      </c>
      <c r="E205" s="150"/>
      <c r="F205" s="67">
        <v>1</v>
      </c>
      <c r="G205" s="71"/>
      <c r="H205" s="5"/>
    </row>
    <row r="206" spans="1:8" x14ac:dyDescent="0.25">
      <c r="A206" s="4" t="s">
        <v>150</v>
      </c>
      <c r="B206" s="14" t="s">
        <v>485</v>
      </c>
      <c r="C206" s="130" t="s">
        <v>879</v>
      </c>
      <c r="D206" s="131"/>
      <c r="E206" s="14" t="s">
        <v>1170</v>
      </c>
      <c r="F206" s="24">
        <v>1</v>
      </c>
      <c r="G206" s="46">
        <v>0</v>
      </c>
      <c r="H206" s="5"/>
    </row>
    <row r="207" spans="1:8" x14ac:dyDescent="0.25">
      <c r="A207" s="4" t="s">
        <v>151</v>
      </c>
      <c r="B207" s="14" t="s">
        <v>486</v>
      </c>
      <c r="C207" s="130" t="s">
        <v>880</v>
      </c>
      <c r="D207" s="131"/>
      <c r="E207" s="14" t="s">
        <v>1170</v>
      </c>
      <c r="F207" s="24">
        <v>1</v>
      </c>
      <c r="G207" s="46">
        <v>0</v>
      </c>
      <c r="H207" s="5"/>
    </row>
    <row r="208" spans="1:8" x14ac:dyDescent="0.25">
      <c r="A208" s="4" t="s">
        <v>152</v>
      </c>
      <c r="B208" s="14" t="s">
        <v>487</v>
      </c>
      <c r="C208" s="130" t="s">
        <v>881</v>
      </c>
      <c r="D208" s="131"/>
      <c r="E208" s="14" t="s">
        <v>1170</v>
      </c>
      <c r="F208" s="24">
        <v>1</v>
      </c>
      <c r="G208" s="46">
        <v>0</v>
      </c>
      <c r="H208" s="5"/>
    </row>
    <row r="209" spans="1:8" x14ac:dyDescent="0.25">
      <c r="A209" s="4" t="s">
        <v>153</v>
      </c>
      <c r="B209" s="14" t="s">
        <v>488</v>
      </c>
      <c r="C209" s="130" t="s">
        <v>882</v>
      </c>
      <c r="D209" s="131"/>
      <c r="E209" s="14" t="s">
        <v>1170</v>
      </c>
      <c r="F209" s="24">
        <v>1</v>
      </c>
      <c r="G209" s="46">
        <v>0</v>
      </c>
      <c r="H209" s="5"/>
    </row>
    <row r="210" spans="1:8" ht="12.15" customHeight="1" x14ac:dyDescent="0.25">
      <c r="A210" s="4"/>
      <c r="B210" s="14"/>
      <c r="C210" s="65" t="s">
        <v>7</v>
      </c>
      <c r="D210" s="150" t="s">
        <v>1145</v>
      </c>
      <c r="E210" s="150"/>
      <c r="F210" s="67">
        <v>1</v>
      </c>
      <c r="G210" s="71"/>
      <c r="H210" s="5"/>
    </row>
    <row r="211" spans="1:8" x14ac:dyDescent="0.25">
      <c r="A211" s="7" t="s">
        <v>154</v>
      </c>
      <c r="B211" s="16" t="s">
        <v>489</v>
      </c>
      <c r="C211" s="134" t="s">
        <v>883</v>
      </c>
      <c r="D211" s="135"/>
      <c r="E211" s="16" t="s">
        <v>1170</v>
      </c>
      <c r="F211" s="26">
        <v>1</v>
      </c>
      <c r="G211" s="48">
        <v>0</v>
      </c>
      <c r="H211" s="5"/>
    </row>
    <row r="212" spans="1:8" x14ac:dyDescent="0.25">
      <c r="A212" s="64"/>
      <c r="B212" s="15" t="s">
        <v>490</v>
      </c>
      <c r="C212" s="132" t="s">
        <v>884</v>
      </c>
      <c r="D212" s="133"/>
      <c r="E212" s="15"/>
      <c r="F212" s="43"/>
      <c r="G212" s="72"/>
      <c r="H212" s="5"/>
    </row>
    <row r="213" spans="1:8" x14ac:dyDescent="0.25">
      <c r="A213" s="4" t="s">
        <v>155</v>
      </c>
      <c r="B213" s="14" t="s">
        <v>491</v>
      </c>
      <c r="C213" s="130" t="s">
        <v>885</v>
      </c>
      <c r="D213" s="131"/>
      <c r="E213" s="14" t="s">
        <v>1165</v>
      </c>
      <c r="F213" s="24">
        <v>10</v>
      </c>
      <c r="G213" s="46">
        <v>0</v>
      </c>
      <c r="H213" s="5"/>
    </row>
    <row r="214" spans="1:8" x14ac:dyDescent="0.25">
      <c r="A214" s="4" t="s">
        <v>156</v>
      </c>
      <c r="B214" s="14" t="s">
        <v>492</v>
      </c>
      <c r="C214" s="130" t="s">
        <v>886</v>
      </c>
      <c r="D214" s="131"/>
      <c r="E214" s="14" t="s">
        <v>1165</v>
      </c>
      <c r="F214" s="24">
        <v>10</v>
      </c>
      <c r="G214" s="46">
        <v>0</v>
      </c>
      <c r="H214" s="5"/>
    </row>
    <row r="215" spans="1:8" x14ac:dyDescent="0.25">
      <c r="A215" s="4" t="s">
        <v>157</v>
      </c>
      <c r="B215" s="14" t="s">
        <v>493</v>
      </c>
      <c r="C215" s="130" t="s">
        <v>887</v>
      </c>
      <c r="D215" s="131"/>
      <c r="E215" s="14" t="s">
        <v>1165</v>
      </c>
      <c r="F215" s="24">
        <v>18</v>
      </c>
      <c r="G215" s="46">
        <v>0</v>
      </c>
      <c r="H215" s="5"/>
    </row>
    <row r="216" spans="1:8" x14ac:dyDescent="0.25">
      <c r="A216" s="4" t="s">
        <v>158</v>
      </c>
      <c r="B216" s="14" t="s">
        <v>494</v>
      </c>
      <c r="C216" s="130" t="s">
        <v>888</v>
      </c>
      <c r="D216" s="131"/>
      <c r="E216" s="14" t="s">
        <v>1165</v>
      </c>
      <c r="F216" s="24">
        <v>12</v>
      </c>
      <c r="G216" s="46">
        <v>0</v>
      </c>
      <c r="H216" s="5"/>
    </row>
    <row r="217" spans="1:8" x14ac:dyDescent="0.25">
      <c r="A217" s="4" t="s">
        <v>159</v>
      </c>
      <c r="B217" s="14" t="s">
        <v>495</v>
      </c>
      <c r="C217" s="130" t="s">
        <v>889</v>
      </c>
      <c r="D217" s="131"/>
      <c r="E217" s="14" t="s">
        <v>1165</v>
      </c>
      <c r="F217" s="24">
        <v>36</v>
      </c>
      <c r="G217" s="46">
        <v>0</v>
      </c>
      <c r="H217" s="5"/>
    </row>
    <row r="218" spans="1:8" x14ac:dyDescent="0.25">
      <c r="A218" s="4" t="s">
        <v>160</v>
      </c>
      <c r="B218" s="14" t="s">
        <v>496</v>
      </c>
      <c r="C218" s="130" t="s">
        <v>890</v>
      </c>
      <c r="D218" s="131"/>
      <c r="E218" s="14" t="s">
        <v>1165</v>
      </c>
      <c r="F218" s="24">
        <v>2</v>
      </c>
      <c r="G218" s="46">
        <v>0</v>
      </c>
      <c r="H218" s="5"/>
    </row>
    <row r="219" spans="1:8" x14ac:dyDescent="0.25">
      <c r="A219" s="4" t="s">
        <v>161</v>
      </c>
      <c r="B219" s="14" t="s">
        <v>497</v>
      </c>
      <c r="C219" s="130" t="s">
        <v>891</v>
      </c>
      <c r="D219" s="131"/>
      <c r="E219" s="14" t="s">
        <v>1165</v>
      </c>
      <c r="F219" s="24">
        <v>6</v>
      </c>
      <c r="G219" s="46">
        <v>0</v>
      </c>
      <c r="H219" s="5"/>
    </row>
    <row r="220" spans="1:8" x14ac:dyDescent="0.25">
      <c r="A220" s="4" t="s">
        <v>162</v>
      </c>
      <c r="B220" s="14" t="s">
        <v>498</v>
      </c>
      <c r="C220" s="130" t="s">
        <v>892</v>
      </c>
      <c r="D220" s="131"/>
      <c r="E220" s="14" t="s">
        <v>1165</v>
      </c>
      <c r="F220" s="24">
        <v>1</v>
      </c>
      <c r="G220" s="46">
        <v>0</v>
      </c>
      <c r="H220" s="5"/>
    </row>
    <row r="221" spans="1:8" x14ac:dyDescent="0.25">
      <c r="A221" s="4" t="s">
        <v>163</v>
      </c>
      <c r="B221" s="14" t="s">
        <v>499</v>
      </c>
      <c r="C221" s="130" t="s">
        <v>893</v>
      </c>
      <c r="D221" s="131"/>
      <c r="E221" s="14" t="s">
        <v>1165</v>
      </c>
      <c r="F221" s="24">
        <v>6</v>
      </c>
      <c r="G221" s="46">
        <v>0</v>
      </c>
      <c r="H221" s="5"/>
    </row>
    <row r="222" spans="1:8" x14ac:dyDescent="0.25">
      <c r="A222" s="4" t="s">
        <v>164</v>
      </c>
      <c r="B222" s="14" t="s">
        <v>500</v>
      </c>
      <c r="C222" s="130" t="s">
        <v>894</v>
      </c>
      <c r="D222" s="131"/>
      <c r="E222" s="14" t="s">
        <v>1170</v>
      </c>
      <c r="F222" s="24">
        <v>2</v>
      </c>
      <c r="G222" s="46">
        <v>0</v>
      </c>
      <c r="H222" s="5"/>
    </row>
    <row r="223" spans="1:8" x14ac:dyDescent="0.25">
      <c r="A223" s="4" t="s">
        <v>165</v>
      </c>
      <c r="B223" s="14" t="s">
        <v>501</v>
      </c>
      <c r="C223" s="130" t="s">
        <v>895</v>
      </c>
      <c r="D223" s="131"/>
      <c r="E223" s="14" t="s">
        <v>1170</v>
      </c>
      <c r="F223" s="24">
        <v>2</v>
      </c>
      <c r="G223" s="46">
        <v>0</v>
      </c>
      <c r="H223" s="5"/>
    </row>
    <row r="224" spans="1:8" x14ac:dyDescent="0.25">
      <c r="A224" s="64"/>
      <c r="B224" s="15" t="s">
        <v>502</v>
      </c>
      <c r="C224" s="132" t="s">
        <v>896</v>
      </c>
      <c r="D224" s="133"/>
      <c r="E224" s="15"/>
      <c r="F224" s="43"/>
      <c r="G224" s="72"/>
      <c r="H224" s="5"/>
    </row>
    <row r="225" spans="1:8" x14ac:dyDescent="0.25">
      <c r="A225" s="4" t="s">
        <v>166</v>
      </c>
      <c r="B225" s="14" t="s">
        <v>503</v>
      </c>
      <c r="C225" s="130" t="s">
        <v>897</v>
      </c>
      <c r="D225" s="131"/>
      <c r="E225" s="14" t="s">
        <v>1170</v>
      </c>
      <c r="F225" s="24">
        <v>1</v>
      </c>
      <c r="G225" s="46">
        <v>0</v>
      </c>
      <c r="H225" s="5"/>
    </row>
    <row r="226" spans="1:8" x14ac:dyDescent="0.25">
      <c r="A226" s="4" t="s">
        <v>167</v>
      </c>
      <c r="B226" s="14" t="s">
        <v>504</v>
      </c>
      <c r="C226" s="130" t="s">
        <v>898</v>
      </c>
      <c r="D226" s="131"/>
      <c r="E226" s="14" t="s">
        <v>1170</v>
      </c>
      <c r="F226" s="24">
        <v>1</v>
      </c>
      <c r="G226" s="46">
        <v>0</v>
      </c>
      <c r="H226" s="5"/>
    </row>
    <row r="227" spans="1:8" x14ac:dyDescent="0.25">
      <c r="A227" s="4" t="s">
        <v>168</v>
      </c>
      <c r="B227" s="14" t="s">
        <v>505</v>
      </c>
      <c r="C227" s="130" t="s">
        <v>899</v>
      </c>
      <c r="D227" s="131"/>
      <c r="E227" s="14" t="s">
        <v>1170</v>
      </c>
      <c r="F227" s="24">
        <v>2</v>
      </c>
      <c r="G227" s="46">
        <v>0</v>
      </c>
      <c r="H227" s="5"/>
    </row>
    <row r="228" spans="1:8" x14ac:dyDescent="0.25">
      <c r="A228" s="4" t="s">
        <v>169</v>
      </c>
      <c r="B228" s="14" t="s">
        <v>506</v>
      </c>
      <c r="C228" s="130" t="s">
        <v>900</v>
      </c>
      <c r="D228" s="131"/>
      <c r="E228" s="14" t="s">
        <v>1170</v>
      </c>
      <c r="F228" s="24">
        <v>1</v>
      </c>
      <c r="G228" s="46">
        <v>0</v>
      </c>
      <c r="H228" s="5"/>
    </row>
    <row r="229" spans="1:8" x14ac:dyDescent="0.25">
      <c r="A229" s="4" t="s">
        <v>170</v>
      </c>
      <c r="B229" s="14" t="s">
        <v>507</v>
      </c>
      <c r="C229" s="130" t="s">
        <v>901</v>
      </c>
      <c r="D229" s="131"/>
      <c r="E229" s="14" t="s">
        <v>1170</v>
      </c>
      <c r="F229" s="24">
        <v>1</v>
      </c>
      <c r="G229" s="46">
        <v>0</v>
      </c>
      <c r="H229" s="5"/>
    </row>
    <row r="230" spans="1:8" x14ac:dyDescent="0.25">
      <c r="A230" s="4" t="s">
        <v>171</v>
      </c>
      <c r="B230" s="14" t="s">
        <v>508</v>
      </c>
      <c r="C230" s="130" t="s">
        <v>902</v>
      </c>
      <c r="D230" s="131"/>
      <c r="E230" s="14" t="s">
        <v>1170</v>
      </c>
      <c r="F230" s="24">
        <v>2</v>
      </c>
      <c r="G230" s="46">
        <v>0</v>
      </c>
      <c r="H230" s="5"/>
    </row>
    <row r="231" spans="1:8" x14ac:dyDescent="0.25">
      <c r="A231" s="4" t="s">
        <v>172</v>
      </c>
      <c r="B231" s="14" t="s">
        <v>509</v>
      </c>
      <c r="C231" s="130" t="s">
        <v>903</v>
      </c>
      <c r="D231" s="131"/>
      <c r="E231" s="14" t="s">
        <v>1170</v>
      </c>
      <c r="F231" s="24">
        <v>12</v>
      </c>
      <c r="G231" s="46">
        <v>0</v>
      </c>
      <c r="H231" s="5"/>
    </row>
    <row r="232" spans="1:8" x14ac:dyDescent="0.25">
      <c r="A232" s="4" t="s">
        <v>173</v>
      </c>
      <c r="B232" s="14" t="s">
        <v>510</v>
      </c>
      <c r="C232" s="130" t="s">
        <v>904</v>
      </c>
      <c r="D232" s="131"/>
      <c r="E232" s="14" t="s">
        <v>1170</v>
      </c>
      <c r="F232" s="24">
        <v>4</v>
      </c>
      <c r="G232" s="46">
        <v>0</v>
      </c>
      <c r="H232" s="5"/>
    </row>
    <row r="233" spans="1:8" x14ac:dyDescent="0.25">
      <c r="A233" s="4" t="s">
        <v>174</v>
      </c>
      <c r="B233" s="14" t="s">
        <v>511</v>
      </c>
      <c r="C233" s="130" t="s">
        <v>905</v>
      </c>
      <c r="D233" s="131"/>
      <c r="E233" s="14" t="s">
        <v>1170</v>
      </c>
      <c r="F233" s="24">
        <v>2</v>
      </c>
      <c r="G233" s="46">
        <v>0</v>
      </c>
      <c r="H233" s="5"/>
    </row>
    <row r="234" spans="1:8" x14ac:dyDescent="0.25">
      <c r="A234" s="4" t="s">
        <v>175</v>
      </c>
      <c r="B234" s="14" t="s">
        <v>512</v>
      </c>
      <c r="C234" s="130" t="s">
        <v>906</v>
      </c>
      <c r="D234" s="131"/>
      <c r="E234" s="14" t="s">
        <v>1170</v>
      </c>
      <c r="F234" s="24">
        <v>1</v>
      </c>
      <c r="G234" s="46">
        <v>0</v>
      </c>
      <c r="H234" s="5"/>
    </row>
    <row r="235" spans="1:8" x14ac:dyDescent="0.25">
      <c r="A235" s="4" t="s">
        <v>176</v>
      </c>
      <c r="B235" s="14" t="s">
        <v>513</v>
      </c>
      <c r="C235" s="130" t="s">
        <v>907</v>
      </c>
      <c r="D235" s="131"/>
      <c r="E235" s="14" t="s">
        <v>1170</v>
      </c>
      <c r="F235" s="24">
        <v>5</v>
      </c>
      <c r="G235" s="46">
        <v>0</v>
      </c>
      <c r="H235" s="5"/>
    </row>
    <row r="236" spans="1:8" x14ac:dyDescent="0.25">
      <c r="A236" s="4" t="s">
        <v>177</v>
      </c>
      <c r="B236" s="14" t="s">
        <v>514</v>
      </c>
      <c r="C236" s="130" t="s">
        <v>908</v>
      </c>
      <c r="D236" s="131"/>
      <c r="E236" s="14" t="s">
        <v>1170</v>
      </c>
      <c r="F236" s="24">
        <v>2</v>
      </c>
      <c r="G236" s="46">
        <v>0</v>
      </c>
      <c r="H236" s="5"/>
    </row>
    <row r="237" spans="1:8" x14ac:dyDescent="0.25">
      <c r="A237" s="4" t="s">
        <v>178</v>
      </c>
      <c r="B237" s="14" t="s">
        <v>515</v>
      </c>
      <c r="C237" s="130" t="s">
        <v>909</v>
      </c>
      <c r="D237" s="131"/>
      <c r="E237" s="14" t="s">
        <v>1170</v>
      </c>
      <c r="F237" s="24">
        <v>3</v>
      </c>
      <c r="G237" s="46">
        <v>0</v>
      </c>
      <c r="H237" s="5"/>
    </row>
    <row r="238" spans="1:8" x14ac:dyDescent="0.25">
      <c r="A238" s="4" t="s">
        <v>179</v>
      </c>
      <c r="B238" s="14" t="s">
        <v>516</v>
      </c>
      <c r="C238" s="130" t="s">
        <v>910</v>
      </c>
      <c r="D238" s="131"/>
      <c r="E238" s="14" t="s">
        <v>1170</v>
      </c>
      <c r="F238" s="24">
        <v>3</v>
      </c>
      <c r="G238" s="46">
        <v>0</v>
      </c>
      <c r="H238" s="5"/>
    </row>
    <row r="239" spans="1:8" x14ac:dyDescent="0.25">
      <c r="A239" s="4" t="s">
        <v>180</v>
      </c>
      <c r="B239" s="14" t="s">
        <v>517</v>
      </c>
      <c r="C239" s="130" t="s">
        <v>911</v>
      </c>
      <c r="D239" s="131"/>
      <c r="E239" s="14" t="s">
        <v>1170</v>
      </c>
      <c r="F239" s="24">
        <v>2</v>
      </c>
      <c r="G239" s="46">
        <v>0</v>
      </c>
      <c r="H239" s="5"/>
    </row>
    <row r="240" spans="1:8" x14ac:dyDescent="0.25">
      <c r="A240" s="4" t="s">
        <v>181</v>
      </c>
      <c r="B240" s="14" t="s">
        <v>518</v>
      </c>
      <c r="C240" s="130" t="s">
        <v>912</v>
      </c>
      <c r="D240" s="131"/>
      <c r="E240" s="14" t="s">
        <v>1170</v>
      </c>
      <c r="F240" s="24">
        <v>1</v>
      </c>
      <c r="G240" s="46">
        <v>0</v>
      </c>
      <c r="H240" s="5"/>
    </row>
    <row r="241" spans="1:8" x14ac:dyDescent="0.25">
      <c r="A241" s="4" t="s">
        <v>182</v>
      </c>
      <c r="B241" s="14" t="s">
        <v>519</v>
      </c>
      <c r="C241" s="130" t="s">
        <v>913</v>
      </c>
      <c r="D241" s="131"/>
      <c r="E241" s="14" t="s">
        <v>1170</v>
      </c>
      <c r="F241" s="24">
        <v>1</v>
      </c>
      <c r="G241" s="46">
        <v>0</v>
      </c>
      <c r="H241" s="5"/>
    </row>
    <row r="242" spans="1:8" x14ac:dyDescent="0.25">
      <c r="A242" s="4" t="s">
        <v>183</v>
      </c>
      <c r="B242" s="14" t="s">
        <v>519</v>
      </c>
      <c r="C242" s="130" t="s">
        <v>914</v>
      </c>
      <c r="D242" s="131"/>
      <c r="E242" s="14" t="s">
        <v>1170</v>
      </c>
      <c r="F242" s="24">
        <v>1</v>
      </c>
      <c r="G242" s="46">
        <v>0</v>
      </c>
      <c r="H242" s="5"/>
    </row>
    <row r="243" spans="1:8" x14ac:dyDescent="0.25">
      <c r="A243" s="4" t="s">
        <v>184</v>
      </c>
      <c r="B243" s="14" t="s">
        <v>520</v>
      </c>
      <c r="C243" s="130" t="s">
        <v>915</v>
      </c>
      <c r="D243" s="131"/>
      <c r="E243" s="14" t="s">
        <v>1170</v>
      </c>
      <c r="F243" s="24">
        <v>4</v>
      </c>
      <c r="G243" s="46">
        <v>0</v>
      </c>
      <c r="H243" s="5"/>
    </row>
    <row r="244" spans="1:8" x14ac:dyDescent="0.25">
      <c r="A244" s="4" t="s">
        <v>185</v>
      </c>
      <c r="B244" s="14" t="s">
        <v>521</v>
      </c>
      <c r="C244" s="130" t="s">
        <v>916</v>
      </c>
      <c r="D244" s="131"/>
      <c r="E244" s="14" t="s">
        <v>1170</v>
      </c>
      <c r="F244" s="24">
        <v>3</v>
      </c>
      <c r="G244" s="46">
        <v>0</v>
      </c>
      <c r="H244" s="5"/>
    </row>
    <row r="245" spans="1:8" x14ac:dyDescent="0.25">
      <c r="A245" s="4" t="s">
        <v>186</v>
      </c>
      <c r="B245" s="14" t="s">
        <v>522</v>
      </c>
      <c r="C245" s="130" t="s">
        <v>917</v>
      </c>
      <c r="D245" s="131"/>
      <c r="E245" s="14" t="s">
        <v>1170</v>
      </c>
      <c r="F245" s="24">
        <v>3</v>
      </c>
      <c r="G245" s="46">
        <v>0</v>
      </c>
      <c r="H245" s="5"/>
    </row>
    <row r="246" spans="1:8" x14ac:dyDescent="0.25">
      <c r="A246" s="4" t="s">
        <v>187</v>
      </c>
      <c r="B246" s="14" t="s">
        <v>523</v>
      </c>
      <c r="C246" s="130" t="s">
        <v>918</v>
      </c>
      <c r="D246" s="131"/>
      <c r="E246" s="14" t="s">
        <v>1170</v>
      </c>
      <c r="F246" s="24">
        <v>5</v>
      </c>
      <c r="G246" s="46">
        <v>0</v>
      </c>
      <c r="H246" s="5"/>
    </row>
    <row r="247" spans="1:8" x14ac:dyDescent="0.25">
      <c r="A247" s="4" t="s">
        <v>188</v>
      </c>
      <c r="B247" s="14" t="s">
        <v>524</v>
      </c>
      <c r="C247" s="130" t="s">
        <v>919</v>
      </c>
      <c r="D247" s="131"/>
      <c r="E247" s="14" t="s">
        <v>1170</v>
      </c>
      <c r="F247" s="24">
        <v>4</v>
      </c>
      <c r="G247" s="46">
        <v>0</v>
      </c>
      <c r="H247" s="5"/>
    </row>
    <row r="248" spans="1:8" x14ac:dyDescent="0.25">
      <c r="A248" s="4" t="s">
        <v>189</v>
      </c>
      <c r="B248" s="14" t="s">
        <v>525</v>
      </c>
      <c r="C248" s="130" t="s">
        <v>920</v>
      </c>
      <c r="D248" s="131"/>
      <c r="E248" s="14" t="s">
        <v>1170</v>
      </c>
      <c r="F248" s="24">
        <v>10</v>
      </c>
      <c r="G248" s="46">
        <v>0</v>
      </c>
      <c r="H248" s="5"/>
    </row>
    <row r="249" spans="1:8" x14ac:dyDescent="0.25">
      <c r="A249" s="4" t="s">
        <v>190</v>
      </c>
      <c r="B249" s="14" t="s">
        <v>526</v>
      </c>
      <c r="C249" s="130" t="s">
        <v>921</v>
      </c>
      <c r="D249" s="131"/>
      <c r="E249" s="14" t="s">
        <v>1170</v>
      </c>
      <c r="F249" s="24">
        <v>10</v>
      </c>
      <c r="G249" s="46">
        <v>0</v>
      </c>
      <c r="H249" s="5"/>
    </row>
    <row r="250" spans="1:8" x14ac:dyDescent="0.25">
      <c r="A250" s="4" t="s">
        <v>191</v>
      </c>
      <c r="B250" s="14" t="s">
        <v>527</v>
      </c>
      <c r="C250" s="130" t="s">
        <v>922</v>
      </c>
      <c r="D250" s="131"/>
      <c r="E250" s="14" t="s">
        <v>1170</v>
      </c>
      <c r="F250" s="24">
        <v>1</v>
      </c>
      <c r="G250" s="46">
        <v>0</v>
      </c>
      <c r="H250" s="5"/>
    </row>
    <row r="251" spans="1:8" x14ac:dyDescent="0.25">
      <c r="A251" s="4" t="s">
        <v>192</v>
      </c>
      <c r="B251" s="14" t="s">
        <v>527</v>
      </c>
      <c r="C251" s="130" t="s">
        <v>923</v>
      </c>
      <c r="D251" s="131"/>
      <c r="E251" s="14" t="s">
        <v>1170</v>
      </c>
      <c r="F251" s="24">
        <v>2</v>
      </c>
      <c r="G251" s="46">
        <v>0</v>
      </c>
      <c r="H251" s="5"/>
    </row>
    <row r="252" spans="1:8" x14ac:dyDescent="0.25">
      <c r="A252" s="4" t="s">
        <v>193</v>
      </c>
      <c r="B252" s="14" t="s">
        <v>528</v>
      </c>
      <c r="C252" s="130" t="s">
        <v>924</v>
      </c>
      <c r="D252" s="131"/>
      <c r="E252" s="14" t="s">
        <v>1170</v>
      </c>
      <c r="F252" s="24">
        <v>1</v>
      </c>
      <c r="G252" s="46">
        <v>0</v>
      </c>
      <c r="H252" s="5"/>
    </row>
    <row r="253" spans="1:8" x14ac:dyDescent="0.25">
      <c r="A253" s="4" t="s">
        <v>194</v>
      </c>
      <c r="B253" s="14" t="s">
        <v>529</v>
      </c>
      <c r="C253" s="130" t="s">
        <v>925</v>
      </c>
      <c r="D253" s="131"/>
      <c r="E253" s="14" t="s">
        <v>1170</v>
      </c>
      <c r="F253" s="24">
        <v>10</v>
      </c>
      <c r="G253" s="46">
        <v>0</v>
      </c>
      <c r="H253" s="5"/>
    </row>
    <row r="254" spans="1:8" x14ac:dyDescent="0.25">
      <c r="A254" s="4" t="s">
        <v>195</v>
      </c>
      <c r="B254" s="14" t="s">
        <v>530</v>
      </c>
      <c r="C254" s="130" t="s">
        <v>926</v>
      </c>
      <c r="D254" s="131"/>
      <c r="E254" s="14" t="s">
        <v>1170</v>
      </c>
      <c r="F254" s="24">
        <v>10</v>
      </c>
      <c r="G254" s="46">
        <v>0</v>
      </c>
      <c r="H254" s="5"/>
    </row>
    <row r="255" spans="1:8" x14ac:dyDescent="0.25">
      <c r="A255" s="4" t="s">
        <v>196</v>
      </c>
      <c r="B255" s="14" t="s">
        <v>505</v>
      </c>
      <c r="C255" s="130" t="s">
        <v>927</v>
      </c>
      <c r="D255" s="131"/>
      <c r="E255" s="14" t="s">
        <v>1170</v>
      </c>
      <c r="F255" s="24">
        <v>1</v>
      </c>
      <c r="G255" s="46">
        <v>0</v>
      </c>
      <c r="H255" s="5"/>
    </row>
    <row r="256" spans="1:8" x14ac:dyDescent="0.25">
      <c r="A256" s="4" t="s">
        <v>197</v>
      </c>
      <c r="B256" s="14" t="s">
        <v>505</v>
      </c>
      <c r="C256" s="130" t="s">
        <v>928</v>
      </c>
      <c r="D256" s="131"/>
      <c r="E256" s="14" t="s">
        <v>1170</v>
      </c>
      <c r="F256" s="24">
        <v>1</v>
      </c>
      <c r="G256" s="46">
        <v>0</v>
      </c>
      <c r="H256" s="5"/>
    </row>
    <row r="257" spans="1:8" x14ac:dyDescent="0.25">
      <c r="A257" s="4" t="s">
        <v>198</v>
      </c>
      <c r="B257" s="14" t="s">
        <v>441</v>
      </c>
      <c r="C257" s="130" t="s">
        <v>929</v>
      </c>
      <c r="D257" s="131"/>
      <c r="E257" s="14" t="s">
        <v>1170</v>
      </c>
      <c r="F257" s="24">
        <v>4</v>
      </c>
      <c r="G257" s="46">
        <v>0</v>
      </c>
      <c r="H257" s="5"/>
    </row>
    <row r="258" spans="1:8" x14ac:dyDescent="0.25">
      <c r="A258" s="4" t="s">
        <v>199</v>
      </c>
      <c r="B258" s="14" t="s">
        <v>441</v>
      </c>
      <c r="C258" s="130" t="s">
        <v>829</v>
      </c>
      <c r="D258" s="131"/>
      <c r="E258" s="14" t="s">
        <v>1170</v>
      </c>
      <c r="F258" s="24">
        <v>1</v>
      </c>
      <c r="G258" s="46">
        <v>0</v>
      </c>
      <c r="H258" s="5"/>
    </row>
    <row r="259" spans="1:8" x14ac:dyDescent="0.25">
      <c r="A259" s="4" t="s">
        <v>200</v>
      </c>
      <c r="B259" s="14" t="s">
        <v>441</v>
      </c>
      <c r="C259" s="130" t="s">
        <v>930</v>
      </c>
      <c r="D259" s="131"/>
      <c r="E259" s="14" t="s">
        <v>1170</v>
      </c>
      <c r="F259" s="24">
        <v>3</v>
      </c>
      <c r="G259" s="46">
        <v>0</v>
      </c>
      <c r="H259" s="5"/>
    </row>
    <row r="260" spans="1:8" x14ac:dyDescent="0.25">
      <c r="A260" s="4" t="s">
        <v>201</v>
      </c>
      <c r="B260" s="14" t="s">
        <v>531</v>
      </c>
      <c r="C260" s="130" t="s">
        <v>931</v>
      </c>
      <c r="D260" s="131"/>
      <c r="E260" s="14" t="s">
        <v>1170</v>
      </c>
      <c r="F260" s="24">
        <v>20</v>
      </c>
      <c r="G260" s="46">
        <v>0</v>
      </c>
      <c r="H260" s="5"/>
    </row>
    <row r="261" spans="1:8" x14ac:dyDescent="0.25">
      <c r="A261" s="4" t="s">
        <v>202</v>
      </c>
      <c r="B261" s="14" t="s">
        <v>532</v>
      </c>
      <c r="C261" s="130" t="s">
        <v>932</v>
      </c>
      <c r="D261" s="131"/>
      <c r="E261" s="14" t="s">
        <v>1170</v>
      </c>
      <c r="F261" s="24">
        <v>6</v>
      </c>
      <c r="G261" s="46">
        <v>0</v>
      </c>
      <c r="H261" s="5"/>
    </row>
    <row r="262" spans="1:8" x14ac:dyDescent="0.25">
      <c r="A262" s="64"/>
      <c r="B262" s="15" t="s">
        <v>533</v>
      </c>
      <c r="C262" s="132" t="s">
        <v>933</v>
      </c>
      <c r="D262" s="133"/>
      <c r="E262" s="15"/>
      <c r="F262" s="43"/>
      <c r="G262" s="72"/>
      <c r="H262" s="5"/>
    </row>
    <row r="263" spans="1:8" x14ac:dyDescent="0.25">
      <c r="A263" s="4" t="s">
        <v>203</v>
      </c>
      <c r="B263" s="14" t="s">
        <v>534</v>
      </c>
      <c r="C263" s="130" t="s">
        <v>934</v>
      </c>
      <c r="D263" s="131"/>
      <c r="E263" s="14" t="s">
        <v>1169</v>
      </c>
      <c r="F263" s="24">
        <v>1131</v>
      </c>
      <c r="G263" s="46">
        <v>0</v>
      </c>
      <c r="H263" s="5"/>
    </row>
    <row r="264" spans="1:8" ht="12.15" customHeight="1" x14ac:dyDescent="0.25">
      <c r="A264" s="4"/>
      <c r="B264" s="14"/>
      <c r="C264" s="65" t="s">
        <v>935</v>
      </c>
      <c r="D264" s="150" t="s">
        <v>1146</v>
      </c>
      <c r="E264" s="150"/>
      <c r="F264" s="67">
        <v>1131</v>
      </c>
      <c r="G264" s="71"/>
      <c r="H264" s="5"/>
    </row>
    <row r="265" spans="1:8" x14ac:dyDescent="0.25">
      <c r="A265" s="64"/>
      <c r="B265" s="15" t="s">
        <v>535</v>
      </c>
      <c r="C265" s="132" t="s">
        <v>936</v>
      </c>
      <c r="D265" s="133"/>
      <c r="E265" s="15"/>
      <c r="F265" s="43"/>
      <c r="G265" s="72"/>
      <c r="H265" s="5"/>
    </row>
    <row r="266" spans="1:8" x14ac:dyDescent="0.25">
      <c r="A266" s="4" t="s">
        <v>204</v>
      </c>
      <c r="B266" s="14" t="s">
        <v>536</v>
      </c>
      <c r="C266" s="130" t="s">
        <v>937</v>
      </c>
      <c r="D266" s="131"/>
      <c r="E266" s="14" t="s">
        <v>1169</v>
      </c>
      <c r="F266" s="24">
        <v>1.2</v>
      </c>
      <c r="G266" s="46">
        <v>0</v>
      </c>
      <c r="H266" s="5"/>
    </row>
    <row r="267" spans="1:8" x14ac:dyDescent="0.25">
      <c r="A267" s="4" t="s">
        <v>205</v>
      </c>
      <c r="B267" s="14" t="s">
        <v>537</v>
      </c>
      <c r="C267" s="130" t="s">
        <v>938</v>
      </c>
      <c r="D267" s="131"/>
      <c r="E267" s="14" t="s">
        <v>1169</v>
      </c>
      <c r="F267" s="24">
        <v>1.2</v>
      </c>
      <c r="G267" s="46">
        <v>0</v>
      </c>
      <c r="H267" s="5"/>
    </row>
    <row r="268" spans="1:8" x14ac:dyDescent="0.25">
      <c r="A268" s="64"/>
      <c r="B268" s="15" t="s">
        <v>538</v>
      </c>
      <c r="C268" s="132" t="s">
        <v>939</v>
      </c>
      <c r="D268" s="133"/>
      <c r="E268" s="15"/>
      <c r="F268" s="43"/>
      <c r="G268" s="72"/>
      <c r="H268" s="5"/>
    </row>
    <row r="269" spans="1:8" x14ac:dyDescent="0.25">
      <c r="A269" s="4" t="s">
        <v>206</v>
      </c>
      <c r="B269" s="14" t="s">
        <v>539</v>
      </c>
      <c r="C269" s="130" t="s">
        <v>940</v>
      </c>
      <c r="D269" s="131"/>
      <c r="E269" s="14" t="s">
        <v>1170</v>
      </c>
      <c r="F269" s="24">
        <v>1</v>
      </c>
      <c r="G269" s="46">
        <v>0</v>
      </c>
      <c r="H269" s="5"/>
    </row>
    <row r="270" spans="1:8" x14ac:dyDescent="0.25">
      <c r="A270" s="64"/>
      <c r="B270" s="15" t="s">
        <v>540</v>
      </c>
      <c r="C270" s="132" t="s">
        <v>941</v>
      </c>
      <c r="D270" s="133"/>
      <c r="E270" s="15"/>
      <c r="F270" s="43"/>
      <c r="G270" s="72"/>
      <c r="H270" s="5"/>
    </row>
    <row r="271" spans="1:8" x14ac:dyDescent="0.25">
      <c r="A271" s="4" t="s">
        <v>207</v>
      </c>
      <c r="B271" s="14" t="s">
        <v>541</v>
      </c>
      <c r="C271" s="130" t="s">
        <v>942</v>
      </c>
      <c r="D271" s="131"/>
      <c r="E271" s="14" t="s">
        <v>1170</v>
      </c>
      <c r="F271" s="24">
        <v>1</v>
      </c>
      <c r="G271" s="46">
        <v>0</v>
      </c>
      <c r="H271" s="5"/>
    </row>
    <row r="272" spans="1:8" x14ac:dyDescent="0.25">
      <c r="A272" s="4" t="s">
        <v>208</v>
      </c>
      <c r="B272" s="14" t="s">
        <v>542</v>
      </c>
      <c r="C272" s="130" t="s">
        <v>943</v>
      </c>
      <c r="D272" s="131"/>
      <c r="E272" s="14" t="s">
        <v>1170</v>
      </c>
      <c r="F272" s="24">
        <v>1</v>
      </c>
      <c r="G272" s="46">
        <v>0</v>
      </c>
      <c r="H272" s="5"/>
    </row>
    <row r="273" spans="1:8" x14ac:dyDescent="0.25">
      <c r="A273" s="4" t="s">
        <v>209</v>
      </c>
      <c r="B273" s="14" t="s">
        <v>543</v>
      </c>
      <c r="C273" s="130" t="s">
        <v>944</v>
      </c>
      <c r="D273" s="131"/>
      <c r="E273" s="14" t="s">
        <v>1165</v>
      </c>
      <c r="F273" s="24">
        <v>32</v>
      </c>
      <c r="G273" s="46">
        <v>0</v>
      </c>
      <c r="H273" s="5"/>
    </row>
    <row r="274" spans="1:8" ht="12.15" customHeight="1" x14ac:dyDescent="0.25">
      <c r="A274" s="4"/>
      <c r="B274" s="14"/>
      <c r="C274" s="65" t="s">
        <v>38</v>
      </c>
      <c r="D274" s="150" t="s">
        <v>1147</v>
      </c>
      <c r="E274" s="150"/>
      <c r="F274" s="67">
        <v>32</v>
      </c>
      <c r="G274" s="71"/>
      <c r="H274" s="5"/>
    </row>
    <row r="275" spans="1:8" x14ac:dyDescent="0.25">
      <c r="A275" s="4" t="s">
        <v>210</v>
      </c>
      <c r="B275" s="14" t="s">
        <v>544</v>
      </c>
      <c r="C275" s="130" t="s">
        <v>945</v>
      </c>
      <c r="D275" s="131"/>
      <c r="E275" s="14" t="s">
        <v>1165</v>
      </c>
      <c r="F275" s="24">
        <v>32</v>
      </c>
      <c r="G275" s="46">
        <v>0</v>
      </c>
      <c r="H275" s="5"/>
    </row>
    <row r="276" spans="1:8" ht="12.15" customHeight="1" x14ac:dyDescent="0.25">
      <c r="A276" s="4"/>
      <c r="B276" s="14"/>
      <c r="C276" s="65" t="s">
        <v>38</v>
      </c>
      <c r="D276" s="150" t="s">
        <v>1148</v>
      </c>
      <c r="E276" s="150"/>
      <c r="F276" s="67">
        <v>32</v>
      </c>
      <c r="G276" s="71"/>
      <c r="H276" s="5"/>
    </row>
    <row r="277" spans="1:8" x14ac:dyDescent="0.25">
      <c r="A277" s="4" t="s">
        <v>211</v>
      </c>
      <c r="B277" s="14" t="s">
        <v>545</v>
      </c>
      <c r="C277" s="130" t="s">
        <v>946</v>
      </c>
      <c r="D277" s="131"/>
      <c r="E277" s="14" t="s">
        <v>1170</v>
      </c>
      <c r="F277" s="24">
        <v>1</v>
      </c>
      <c r="G277" s="46">
        <v>0</v>
      </c>
      <c r="H277" s="5"/>
    </row>
    <row r="278" spans="1:8" x14ac:dyDescent="0.25">
      <c r="A278" s="7" t="s">
        <v>212</v>
      </c>
      <c r="B278" s="16" t="s">
        <v>546</v>
      </c>
      <c r="C278" s="134" t="s">
        <v>947</v>
      </c>
      <c r="D278" s="135"/>
      <c r="E278" s="16" t="s">
        <v>1165</v>
      </c>
      <c r="F278" s="26">
        <v>32</v>
      </c>
      <c r="G278" s="48">
        <v>0</v>
      </c>
      <c r="H278" s="5"/>
    </row>
    <row r="279" spans="1:8" ht="12.15" customHeight="1" x14ac:dyDescent="0.25">
      <c r="A279" s="7"/>
      <c r="B279" s="16"/>
      <c r="C279" s="65" t="s">
        <v>38</v>
      </c>
      <c r="D279" s="150" t="s">
        <v>1149</v>
      </c>
      <c r="E279" s="150"/>
      <c r="F279" s="68">
        <v>32</v>
      </c>
      <c r="G279" s="73"/>
      <c r="H279" s="5"/>
    </row>
    <row r="280" spans="1:8" ht="12.15" customHeight="1" x14ac:dyDescent="0.25">
      <c r="A280" s="7"/>
      <c r="B280" s="16"/>
      <c r="C280" s="65" t="s">
        <v>948</v>
      </c>
      <c r="D280" s="150"/>
      <c r="E280" s="150"/>
      <c r="F280" s="68">
        <v>0</v>
      </c>
      <c r="G280" s="73"/>
      <c r="H280" s="5"/>
    </row>
    <row r="281" spans="1:8" ht="12.15" customHeight="1" x14ac:dyDescent="0.25">
      <c r="A281" s="7"/>
      <c r="B281" s="16"/>
      <c r="C281" s="65" t="s">
        <v>949</v>
      </c>
      <c r="D281" s="150"/>
      <c r="E281" s="150"/>
      <c r="F281" s="68">
        <v>0</v>
      </c>
      <c r="G281" s="73"/>
      <c r="H281" s="5"/>
    </row>
    <row r="282" spans="1:8" x14ac:dyDescent="0.25">
      <c r="A282" s="7" t="s">
        <v>213</v>
      </c>
      <c r="B282" s="16" t="s">
        <v>547</v>
      </c>
      <c r="C282" s="134" t="s">
        <v>950</v>
      </c>
      <c r="D282" s="135"/>
      <c r="E282" s="16" t="s">
        <v>1165</v>
      </c>
      <c r="F282" s="26">
        <v>32</v>
      </c>
      <c r="G282" s="48">
        <v>0</v>
      </c>
      <c r="H282" s="5"/>
    </row>
    <row r="283" spans="1:8" ht="12.15" customHeight="1" x14ac:dyDescent="0.25">
      <c r="A283" s="7"/>
      <c r="B283" s="16"/>
      <c r="C283" s="65" t="s">
        <v>38</v>
      </c>
      <c r="D283" s="150" t="s">
        <v>1150</v>
      </c>
      <c r="E283" s="150"/>
      <c r="F283" s="68">
        <v>32</v>
      </c>
      <c r="G283" s="73"/>
      <c r="H283" s="5"/>
    </row>
    <row r="284" spans="1:8" x14ac:dyDescent="0.25">
      <c r="A284" s="7" t="s">
        <v>214</v>
      </c>
      <c r="B284" s="16" t="s">
        <v>548</v>
      </c>
      <c r="C284" s="134" t="s">
        <v>951</v>
      </c>
      <c r="D284" s="135"/>
      <c r="E284" s="16" t="s">
        <v>1170</v>
      </c>
      <c r="F284" s="26">
        <v>3</v>
      </c>
      <c r="G284" s="48">
        <v>0</v>
      </c>
      <c r="H284" s="5"/>
    </row>
    <row r="285" spans="1:8" ht="12.15" customHeight="1" x14ac:dyDescent="0.25">
      <c r="A285" s="7"/>
      <c r="B285" s="16"/>
      <c r="C285" s="65" t="s">
        <v>9</v>
      </c>
      <c r="D285" s="150" t="s">
        <v>1151</v>
      </c>
      <c r="E285" s="150"/>
      <c r="F285" s="68">
        <v>3</v>
      </c>
      <c r="G285" s="73"/>
      <c r="H285" s="5"/>
    </row>
    <row r="286" spans="1:8" x14ac:dyDescent="0.25">
      <c r="A286" s="7" t="s">
        <v>215</v>
      </c>
      <c r="B286" s="16" t="s">
        <v>549</v>
      </c>
      <c r="C286" s="134" t="s">
        <v>952</v>
      </c>
      <c r="D286" s="135"/>
      <c r="E286" s="16" t="s">
        <v>1170</v>
      </c>
      <c r="F286" s="26">
        <v>1</v>
      </c>
      <c r="G286" s="48">
        <v>0</v>
      </c>
      <c r="H286" s="5"/>
    </row>
    <row r="287" spans="1:8" ht="12.15" customHeight="1" x14ac:dyDescent="0.25">
      <c r="A287" s="7"/>
      <c r="B287" s="16"/>
      <c r="C287" s="65" t="s">
        <v>7</v>
      </c>
      <c r="D287" s="150" t="s">
        <v>1152</v>
      </c>
      <c r="E287" s="150"/>
      <c r="F287" s="68">
        <v>1</v>
      </c>
      <c r="G287" s="73"/>
      <c r="H287" s="5"/>
    </row>
    <row r="288" spans="1:8" ht="12.15" customHeight="1" x14ac:dyDescent="0.25">
      <c r="A288" s="7"/>
      <c r="B288" s="16"/>
      <c r="C288" s="65" t="s">
        <v>953</v>
      </c>
      <c r="D288" s="150"/>
      <c r="E288" s="150"/>
      <c r="F288" s="68">
        <v>0</v>
      </c>
      <c r="G288" s="73"/>
      <c r="H288" s="5"/>
    </row>
    <row r="289" spans="1:8" ht="12.15" customHeight="1" x14ac:dyDescent="0.25">
      <c r="A289" s="7"/>
      <c r="B289" s="16"/>
      <c r="C289" s="65" t="s">
        <v>954</v>
      </c>
      <c r="D289" s="150" t="s">
        <v>1153</v>
      </c>
      <c r="E289" s="150"/>
      <c r="F289" s="68">
        <v>0</v>
      </c>
      <c r="G289" s="73"/>
      <c r="H289" s="5"/>
    </row>
    <row r="290" spans="1:8" ht="12.15" customHeight="1" x14ac:dyDescent="0.25">
      <c r="A290" s="7"/>
      <c r="B290" s="16"/>
      <c r="C290" s="65" t="s">
        <v>955</v>
      </c>
      <c r="D290" s="150"/>
      <c r="E290" s="150"/>
      <c r="F290" s="68">
        <v>0</v>
      </c>
      <c r="G290" s="73"/>
      <c r="H290" s="5"/>
    </row>
    <row r="291" spans="1:8" x14ac:dyDescent="0.25">
      <c r="A291" s="4" t="s">
        <v>216</v>
      </c>
      <c r="B291" s="14" t="s">
        <v>550</v>
      </c>
      <c r="C291" s="130" t="s">
        <v>956</v>
      </c>
      <c r="D291" s="131"/>
      <c r="E291" s="14" t="s">
        <v>1170</v>
      </c>
      <c r="F291" s="24">
        <v>10</v>
      </c>
      <c r="G291" s="46">
        <v>0</v>
      </c>
      <c r="H291" s="5"/>
    </row>
    <row r="292" spans="1:8" x14ac:dyDescent="0.25">
      <c r="A292" s="7" t="s">
        <v>217</v>
      </c>
      <c r="B292" s="16" t="s">
        <v>551</v>
      </c>
      <c r="C292" s="134" t="s">
        <v>957</v>
      </c>
      <c r="D292" s="135"/>
      <c r="E292" s="16" t="s">
        <v>1170</v>
      </c>
      <c r="F292" s="26">
        <v>10</v>
      </c>
      <c r="G292" s="48">
        <v>0</v>
      </c>
      <c r="H292" s="5"/>
    </row>
    <row r="293" spans="1:8" x14ac:dyDescent="0.25">
      <c r="A293" s="4" t="s">
        <v>218</v>
      </c>
      <c r="B293" s="14" t="s">
        <v>552</v>
      </c>
      <c r="C293" s="130" t="s">
        <v>958</v>
      </c>
      <c r="D293" s="131"/>
      <c r="E293" s="14" t="s">
        <v>1165</v>
      </c>
      <c r="F293" s="24">
        <v>8</v>
      </c>
      <c r="G293" s="46">
        <v>0</v>
      </c>
      <c r="H293" s="5"/>
    </row>
    <row r="294" spans="1:8" x14ac:dyDescent="0.25">
      <c r="A294" s="4" t="s">
        <v>219</v>
      </c>
      <c r="B294" s="14" t="s">
        <v>545</v>
      </c>
      <c r="C294" s="130" t="s">
        <v>959</v>
      </c>
      <c r="D294" s="131"/>
      <c r="E294" s="14" t="s">
        <v>1170</v>
      </c>
      <c r="F294" s="24">
        <v>2</v>
      </c>
      <c r="G294" s="46">
        <v>0</v>
      </c>
      <c r="H294" s="5"/>
    </row>
    <row r="295" spans="1:8" x14ac:dyDescent="0.25">
      <c r="A295" s="64"/>
      <c r="B295" s="15" t="s">
        <v>553</v>
      </c>
      <c r="C295" s="132" t="s">
        <v>960</v>
      </c>
      <c r="D295" s="133"/>
      <c r="E295" s="15"/>
      <c r="F295" s="43"/>
      <c r="G295" s="72"/>
      <c r="H295" s="5"/>
    </row>
    <row r="296" spans="1:8" x14ac:dyDescent="0.25">
      <c r="A296" s="4" t="s">
        <v>220</v>
      </c>
      <c r="B296" s="14" t="s">
        <v>554</v>
      </c>
      <c r="C296" s="130" t="s">
        <v>961</v>
      </c>
      <c r="D296" s="131"/>
      <c r="E296" s="14" t="s">
        <v>1169</v>
      </c>
      <c r="F296" s="24">
        <v>32.47</v>
      </c>
      <c r="G296" s="46">
        <v>0</v>
      </c>
      <c r="H296" s="5"/>
    </row>
    <row r="297" spans="1:8" ht="12.15" customHeight="1" x14ac:dyDescent="0.25">
      <c r="A297" s="4"/>
      <c r="B297" s="14"/>
      <c r="C297" s="65" t="s">
        <v>962</v>
      </c>
      <c r="D297" s="150" t="s">
        <v>1154</v>
      </c>
      <c r="E297" s="150"/>
      <c r="F297" s="67">
        <v>32.47</v>
      </c>
      <c r="G297" s="71"/>
      <c r="H297" s="5"/>
    </row>
    <row r="298" spans="1:8" x14ac:dyDescent="0.25">
      <c r="A298" s="4" t="s">
        <v>221</v>
      </c>
      <c r="B298" s="14" t="s">
        <v>555</v>
      </c>
      <c r="C298" s="130" t="s">
        <v>963</v>
      </c>
      <c r="D298" s="131"/>
      <c r="E298" s="14" t="s">
        <v>1165</v>
      </c>
      <c r="F298" s="24">
        <v>7.66</v>
      </c>
      <c r="G298" s="46">
        <v>0</v>
      </c>
      <c r="H298" s="5"/>
    </row>
    <row r="299" spans="1:8" ht="12.15" customHeight="1" x14ac:dyDescent="0.25">
      <c r="A299" s="4"/>
      <c r="B299" s="14"/>
      <c r="C299" s="65" t="s">
        <v>964</v>
      </c>
      <c r="D299" s="150" t="s">
        <v>1154</v>
      </c>
      <c r="E299" s="150"/>
      <c r="F299" s="67">
        <v>7.66</v>
      </c>
      <c r="G299" s="71"/>
      <c r="H299" s="5"/>
    </row>
    <row r="300" spans="1:8" x14ac:dyDescent="0.25">
      <c r="A300" s="4" t="s">
        <v>222</v>
      </c>
      <c r="B300" s="14" t="s">
        <v>556</v>
      </c>
      <c r="C300" s="130" t="s">
        <v>965</v>
      </c>
      <c r="D300" s="131"/>
      <c r="E300" s="14" t="s">
        <v>1165</v>
      </c>
      <c r="F300" s="24">
        <v>23.24</v>
      </c>
      <c r="G300" s="46">
        <v>0</v>
      </c>
      <c r="H300" s="5"/>
    </row>
    <row r="301" spans="1:8" ht="12.15" customHeight="1" x14ac:dyDescent="0.25">
      <c r="A301" s="4"/>
      <c r="B301" s="14"/>
      <c r="C301" s="65" t="s">
        <v>966</v>
      </c>
      <c r="D301" s="150" t="s">
        <v>1154</v>
      </c>
      <c r="E301" s="150"/>
      <c r="F301" s="67">
        <v>23.24</v>
      </c>
      <c r="G301" s="71"/>
      <c r="H301" s="5"/>
    </row>
    <row r="302" spans="1:8" x14ac:dyDescent="0.25">
      <c r="A302" s="4" t="s">
        <v>223</v>
      </c>
      <c r="B302" s="14" t="s">
        <v>557</v>
      </c>
      <c r="C302" s="130" t="s">
        <v>967</v>
      </c>
      <c r="D302" s="131"/>
      <c r="E302" s="14" t="s">
        <v>1169</v>
      </c>
      <c r="F302" s="24">
        <v>35.94</v>
      </c>
      <c r="G302" s="46">
        <v>0</v>
      </c>
      <c r="H302" s="5"/>
    </row>
    <row r="303" spans="1:8" ht="12.15" customHeight="1" x14ac:dyDescent="0.25">
      <c r="A303" s="4"/>
      <c r="B303" s="14"/>
      <c r="C303" s="65" t="s">
        <v>968</v>
      </c>
      <c r="D303" s="150"/>
      <c r="E303" s="150"/>
      <c r="F303" s="67">
        <v>35.94</v>
      </c>
      <c r="G303" s="71"/>
      <c r="H303" s="5"/>
    </row>
    <row r="304" spans="1:8" x14ac:dyDescent="0.25">
      <c r="A304" s="7" t="s">
        <v>224</v>
      </c>
      <c r="B304" s="16" t="s">
        <v>558</v>
      </c>
      <c r="C304" s="134" t="s">
        <v>969</v>
      </c>
      <c r="D304" s="135"/>
      <c r="E304" s="16" t="s">
        <v>1169</v>
      </c>
      <c r="F304" s="26">
        <v>36.31</v>
      </c>
      <c r="G304" s="48">
        <v>0</v>
      </c>
      <c r="H304" s="5"/>
    </row>
    <row r="305" spans="1:8" ht="12.15" customHeight="1" x14ac:dyDescent="0.25">
      <c r="A305" s="7"/>
      <c r="B305" s="16"/>
      <c r="C305" s="65" t="s">
        <v>970</v>
      </c>
      <c r="D305" s="150" t="s">
        <v>1155</v>
      </c>
      <c r="E305" s="150"/>
      <c r="F305" s="68">
        <v>36.31</v>
      </c>
      <c r="G305" s="73"/>
      <c r="H305" s="5"/>
    </row>
    <row r="306" spans="1:8" x14ac:dyDescent="0.25">
      <c r="A306" s="7" t="s">
        <v>225</v>
      </c>
      <c r="B306" s="16" t="s">
        <v>559</v>
      </c>
      <c r="C306" s="134" t="s">
        <v>971</v>
      </c>
      <c r="D306" s="135"/>
      <c r="E306" s="16" t="s">
        <v>1169</v>
      </c>
      <c r="F306" s="26">
        <v>2.5099999999999998</v>
      </c>
      <c r="G306" s="48">
        <v>0</v>
      </c>
      <c r="H306" s="5"/>
    </row>
    <row r="307" spans="1:8" ht="12.15" customHeight="1" x14ac:dyDescent="0.25">
      <c r="A307" s="7"/>
      <c r="B307" s="16"/>
      <c r="C307" s="65" t="s">
        <v>972</v>
      </c>
      <c r="D307" s="150" t="s">
        <v>1155</v>
      </c>
      <c r="E307" s="150"/>
      <c r="F307" s="68">
        <v>2.5099999999999998</v>
      </c>
      <c r="G307" s="73"/>
      <c r="H307" s="5"/>
    </row>
    <row r="308" spans="1:8" x14ac:dyDescent="0.25">
      <c r="A308" s="64"/>
      <c r="B308" s="15" t="s">
        <v>560</v>
      </c>
      <c r="C308" s="132" t="s">
        <v>973</v>
      </c>
      <c r="D308" s="133"/>
      <c r="E308" s="15"/>
      <c r="F308" s="43"/>
      <c r="G308" s="72"/>
      <c r="H308" s="5"/>
    </row>
    <row r="309" spans="1:8" x14ac:dyDescent="0.25">
      <c r="A309" s="4" t="s">
        <v>226</v>
      </c>
      <c r="B309" s="14" t="s">
        <v>561</v>
      </c>
      <c r="C309" s="130" t="s">
        <v>974</v>
      </c>
      <c r="D309" s="131"/>
      <c r="E309" s="14" t="s">
        <v>1170</v>
      </c>
      <c r="F309" s="24">
        <v>16</v>
      </c>
      <c r="G309" s="46">
        <v>0</v>
      </c>
      <c r="H309" s="5"/>
    </row>
    <row r="310" spans="1:8" x14ac:dyDescent="0.25">
      <c r="A310" s="4" t="s">
        <v>227</v>
      </c>
      <c r="B310" s="14" t="s">
        <v>562</v>
      </c>
      <c r="C310" s="130" t="s">
        <v>975</v>
      </c>
      <c r="D310" s="131"/>
      <c r="E310" s="14" t="s">
        <v>1165</v>
      </c>
      <c r="F310" s="24">
        <v>51</v>
      </c>
      <c r="G310" s="46">
        <v>0</v>
      </c>
      <c r="H310" s="5"/>
    </row>
    <row r="311" spans="1:8" x14ac:dyDescent="0.25">
      <c r="A311" s="4" t="s">
        <v>228</v>
      </c>
      <c r="B311" s="14" t="s">
        <v>563</v>
      </c>
      <c r="C311" s="130" t="s">
        <v>976</v>
      </c>
      <c r="D311" s="131"/>
      <c r="E311" s="14" t="s">
        <v>1165</v>
      </c>
      <c r="F311" s="24">
        <v>18</v>
      </c>
      <c r="G311" s="46">
        <v>0</v>
      </c>
      <c r="H311" s="5"/>
    </row>
    <row r="312" spans="1:8" x14ac:dyDescent="0.25">
      <c r="A312" s="4" t="s">
        <v>229</v>
      </c>
      <c r="B312" s="14" t="s">
        <v>564</v>
      </c>
      <c r="C312" s="130" t="s">
        <v>977</v>
      </c>
      <c r="D312" s="131"/>
      <c r="E312" s="14" t="s">
        <v>1165</v>
      </c>
      <c r="F312" s="24">
        <v>28</v>
      </c>
      <c r="G312" s="46">
        <v>0</v>
      </c>
      <c r="H312" s="5"/>
    </row>
    <row r="313" spans="1:8" x14ac:dyDescent="0.25">
      <c r="A313" s="64"/>
      <c r="B313" s="15" t="s">
        <v>102</v>
      </c>
      <c r="C313" s="132" t="s">
        <v>978</v>
      </c>
      <c r="D313" s="133"/>
      <c r="E313" s="15"/>
      <c r="F313" s="43"/>
      <c r="G313" s="72"/>
      <c r="H313" s="5"/>
    </row>
    <row r="314" spans="1:8" x14ac:dyDescent="0.25">
      <c r="A314" s="4" t="s">
        <v>230</v>
      </c>
      <c r="B314" s="14" t="s">
        <v>565</v>
      </c>
      <c r="C314" s="130" t="s">
        <v>979</v>
      </c>
      <c r="D314" s="131"/>
      <c r="E314" s="14" t="s">
        <v>1167</v>
      </c>
      <c r="F314" s="24">
        <v>0.1</v>
      </c>
      <c r="G314" s="46">
        <v>0</v>
      </c>
      <c r="H314" s="5"/>
    </row>
    <row r="315" spans="1:8" x14ac:dyDescent="0.25">
      <c r="A315" s="4" t="s">
        <v>231</v>
      </c>
      <c r="B315" s="14" t="s">
        <v>566</v>
      </c>
      <c r="C315" s="130" t="s">
        <v>980</v>
      </c>
      <c r="D315" s="131"/>
      <c r="E315" s="14" t="s">
        <v>1167</v>
      </c>
      <c r="F315" s="24">
        <v>2.4</v>
      </c>
      <c r="G315" s="46">
        <v>0</v>
      </c>
      <c r="H315" s="5"/>
    </row>
    <row r="316" spans="1:8" x14ac:dyDescent="0.25">
      <c r="A316" s="4" t="s">
        <v>232</v>
      </c>
      <c r="B316" s="14" t="s">
        <v>567</v>
      </c>
      <c r="C316" s="130" t="s">
        <v>981</v>
      </c>
      <c r="D316" s="131"/>
      <c r="E316" s="14" t="s">
        <v>1169</v>
      </c>
      <c r="F316" s="24">
        <v>1</v>
      </c>
      <c r="G316" s="46">
        <v>0</v>
      </c>
      <c r="H316" s="5"/>
    </row>
    <row r="317" spans="1:8" x14ac:dyDescent="0.25">
      <c r="A317" s="64"/>
      <c r="B317" s="15" t="s">
        <v>568</v>
      </c>
      <c r="C317" s="132" t="s">
        <v>982</v>
      </c>
      <c r="D317" s="133"/>
      <c r="E317" s="15"/>
      <c r="F317" s="43"/>
      <c r="G317" s="72"/>
      <c r="H317" s="5"/>
    </row>
    <row r="318" spans="1:8" x14ac:dyDescent="0.25">
      <c r="A318" s="4" t="s">
        <v>233</v>
      </c>
      <c r="B318" s="14" t="s">
        <v>569</v>
      </c>
      <c r="C318" s="130" t="s">
        <v>983</v>
      </c>
      <c r="D318" s="131"/>
      <c r="E318" s="14" t="s">
        <v>1169</v>
      </c>
      <c r="F318" s="24">
        <v>35</v>
      </c>
      <c r="G318" s="46">
        <v>0</v>
      </c>
      <c r="H318" s="5"/>
    </row>
    <row r="319" spans="1:8" x14ac:dyDescent="0.25">
      <c r="A319" s="4" t="s">
        <v>234</v>
      </c>
      <c r="B319" s="14" t="s">
        <v>570</v>
      </c>
      <c r="C319" s="130" t="s">
        <v>984</v>
      </c>
      <c r="D319" s="131"/>
      <c r="E319" s="14" t="s">
        <v>1169</v>
      </c>
      <c r="F319" s="24">
        <v>91.26</v>
      </c>
      <c r="G319" s="46">
        <v>0</v>
      </c>
      <c r="H319" s="5"/>
    </row>
    <row r="320" spans="1:8" ht="12.15" customHeight="1" x14ac:dyDescent="0.25">
      <c r="A320" s="4"/>
      <c r="B320" s="14"/>
      <c r="C320" s="65" t="s">
        <v>985</v>
      </c>
      <c r="D320" s="150"/>
      <c r="E320" s="150"/>
      <c r="F320" s="67">
        <v>91.26</v>
      </c>
      <c r="G320" s="71"/>
      <c r="H320" s="5"/>
    </row>
    <row r="321" spans="1:8" x14ac:dyDescent="0.25">
      <c r="A321" s="64"/>
      <c r="B321" s="15" t="s">
        <v>571</v>
      </c>
      <c r="C321" s="132" t="s">
        <v>986</v>
      </c>
      <c r="D321" s="133"/>
      <c r="E321" s="15"/>
      <c r="F321" s="43"/>
      <c r="G321" s="72"/>
      <c r="H321" s="5"/>
    </row>
    <row r="322" spans="1:8" x14ac:dyDescent="0.25">
      <c r="A322" s="4" t="s">
        <v>235</v>
      </c>
      <c r="B322" s="14" t="s">
        <v>572</v>
      </c>
      <c r="C322" s="130" t="s">
        <v>987</v>
      </c>
      <c r="D322" s="131"/>
      <c r="E322" s="14" t="s">
        <v>1170</v>
      </c>
      <c r="F322" s="24">
        <v>1</v>
      </c>
      <c r="G322" s="46">
        <v>0</v>
      </c>
      <c r="H322" s="5"/>
    </row>
    <row r="323" spans="1:8" x14ac:dyDescent="0.25">
      <c r="A323" s="4" t="s">
        <v>236</v>
      </c>
      <c r="B323" s="14" t="s">
        <v>572</v>
      </c>
      <c r="C323" s="130" t="s">
        <v>988</v>
      </c>
      <c r="D323" s="131"/>
      <c r="E323" s="14" t="s">
        <v>1170</v>
      </c>
      <c r="F323" s="24">
        <v>2</v>
      </c>
      <c r="G323" s="46">
        <v>0</v>
      </c>
      <c r="H323" s="5"/>
    </row>
    <row r="324" spans="1:8" x14ac:dyDescent="0.25">
      <c r="A324" s="64"/>
      <c r="B324" s="15" t="s">
        <v>97</v>
      </c>
      <c r="C324" s="132" t="s">
        <v>989</v>
      </c>
      <c r="D324" s="133"/>
      <c r="E324" s="15"/>
      <c r="F324" s="43"/>
      <c r="G324" s="72"/>
      <c r="H324" s="5"/>
    </row>
    <row r="325" spans="1:8" x14ac:dyDescent="0.25">
      <c r="A325" s="4" t="s">
        <v>237</v>
      </c>
      <c r="B325" s="14" t="s">
        <v>573</v>
      </c>
      <c r="C325" s="130" t="s">
        <v>990</v>
      </c>
      <c r="D325" s="131"/>
      <c r="E325" s="14" t="s">
        <v>1165</v>
      </c>
      <c r="F325" s="24">
        <v>26</v>
      </c>
      <c r="G325" s="46">
        <v>0</v>
      </c>
      <c r="H325" s="5"/>
    </row>
    <row r="326" spans="1:8" x14ac:dyDescent="0.25">
      <c r="A326" s="7" t="s">
        <v>238</v>
      </c>
      <c r="B326" s="16" t="s">
        <v>574</v>
      </c>
      <c r="C326" s="134" t="s">
        <v>991</v>
      </c>
      <c r="D326" s="135"/>
      <c r="E326" s="16" t="s">
        <v>1170</v>
      </c>
      <c r="F326" s="26">
        <v>25</v>
      </c>
      <c r="G326" s="48">
        <v>0</v>
      </c>
      <c r="H326" s="5"/>
    </row>
    <row r="327" spans="1:8" x14ac:dyDescent="0.25">
      <c r="A327" s="64"/>
      <c r="B327" s="15" t="s">
        <v>99</v>
      </c>
      <c r="C327" s="132" t="s">
        <v>992</v>
      </c>
      <c r="D327" s="133"/>
      <c r="E327" s="15"/>
      <c r="F327" s="43"/>
      <c r="G327" s="72"/>
      <c r="H327" s="5"/>
    </row>
    <row r="328" spans="1:8" x14ac:dyDescent="0.25">
      <c r="A328" s="4" t="s">
        <v>239</v>
      </c>
      <c r="B328" s="14" t="s">
        <v>575</v>
      </c>
      <c r="C328" s="130" t="s">
        <v>993</v>
      </c>
      <c r="D328" s="131"/>
      <c r="E328" s="14" t="s">
        <v>1170</v>
      </c>
      <c r="F328" s="24">
        <v>2</v>
      </c>
      <c r="G328" s="46">
        <v>0</v>
      </c>
      <c r="H328" s="5"/>
    </row>
    <row r="329" spans="1:8" x14ac:dyDescent="0.25">
      <c r="A329" s="4" t="s">
        <v>240</v>
      </c>
      <c r="B329" s="14" t="s">
        <v>576</v>
      </c>
      <c r="C329" s="130" t="s">
        <v>994</v>
      </c>
      <c r="D329" s="131"/>
      <c r="E329" s="14" t="s">
        <v>1170</v>
      </c>
      <c r="F329" s="24">
        <v>2</v>
      </c>
      <c r="G329" s="46">
        <v>0</v>
      </c>
      <c r="H329" s="5"/>
    </row>
    <row r="330" spans="1:8" x14ac:dyDescent="0.25">
      <c r="A330" s="4" t="s">
        <v>241</v>
      </c>
      <c r="B330" s="14" t="s">
        <v>577</v>
      </c>
      <c r="C330" s="130" t="s">
        <v>995</v>
      </c>
      <c r="D330" s="131"/>
      <c r="E330" s="14" t="s">
        <v>1170</v>
      </c>
      <c r="F330" s="24">
        <v>2</v>
      </c>
      <c r="G330" s="46">
        <v>0</v>
      </c>
      <c r="H330" s="5"/>
    </row>
    <row r="331" spans="1:8" x14ac:dyDescent="0.25">
      <c r="A331" s="64"/>
      <c r="B331" s="15" t="s">
        <v>103</v>
      </c>
      <c r="C331" s="132" t="s">
        <v>996</v>
      </c>
      <c r="D331" s="133"/>
      <c r="E331" s="15"/>
      <c r="F331" s="43"/>
      <c r="G331" s="72"/>
      <c r="H331" s="5"/>
    </row>
    <row r="332" spans="1:8" x14ac:dyDescent="0.25">
      <c r="A332" s="4" t="s">
        <v>242</v>
      </c>
      <c r="B332" s="14" t="s">
        <v>578</v>
      </c>
      <c r="C332" s="130" t="s">
        <v>997</v>
      </c>
      <c r="D332" s="131"/>
      <c r="E332" s="14" t="s">
        <v>1170</v>
      </c>
      <c r="F332" s="24">
        <v>3</v>
      </c>
      <c r="G332" s="46">
        <v>0</v>
      </c>
      <c r="H332" s="5"/>
    </row>
    <row r="333" spans="1:8" x14ac:dyDescent="0.25">
      <c r="A333" s="4" t="s">
        <v>243</v>
      </c>
      <c r="B333" s="14" t="s">
        <v>579</v>
      </c>
      <c r="C333" s="130" t="s">
        <v>998</v>
      </c>
      <c r="D333" s="131"/>
      <c r="E333" s="14" t="s">
        <v>1170</v>
      </c>
      <c r="F333" s="24">
        <v>4</v>
      </c>
      <c r="G333" s="46">
        <v>0</v>
      </c>
      <c r="H333" s="5"/>
    </row>
    <row r="334" spans="1:8" x14ac:dyDescent="0.25">
      <c r="A334" s="4" t="s">
        <v>244</v>
      </c>
      <c r="B334" s="14" t="s">
        <v>580</v>
      </c>
      <c r="C334" s="130" t="s">
        <v>999</v>
      </c>
      <c r="D334" s="131"/>
      <c r="E334" s="14" t="s">
        <v>1170</v>
      </c>
      <c r="F334" s="24">
        <v>2</v>
      </c>
      <c r="G334" s="46">
        <v>0</v>
      </c>
      <c r="H334" s="5"/>
    </row>
    <row r="335" spans="1:8" x14ac:dyDescent="0.25">
      <c r="A335" s="4" t="s">
        <v>245</v>
      </c>
      <c r="B335" s="14" t="s">
        <v>578</v>
      </c>
      <c r="C335" s="130" t="s">
        <v>1000</v>
      </c>
      <c r="D335" s="131"/>
      <c r="E335" s="14" t="s">
        <v>1170</v>
      </c>
      <c r="F335" s="24">
        <v>2</v>
      </c>
      <c r="G335" s="46">
        <v>0</v>
      </c>
      <c r="H335" s="5"/>
    </row>
    <row r="336" spans="1:8" x14ac:dyDescent="0.25">
      <c r="A336" s="4" t="s">
        <v>246</v>
      </c>
      <c r="B336" s="14" t="s">
        <v>581</v>
      </c>
      <c r="C336" s="130" t="s">
        <v>1001</v>
      </c>
      <c r="D336" s="131"/>
      <c r="E336" s="14" t="s">
        <v>1170</v>
      </c>
      <c r="F336" s="24">
        <v>1</v>
      </c>
      <c r="G336" s="46">
        <v>0</v>
      </c>
      <c r="H336" s="5"/>
    </row>
    <row r="337" spans="1:8" x14ac:dyDescent="0.25">
      <c r="A337" s="64"/>
      <c r="B337" s="15" t="s">
        <v>582</v>
      </c>
      <c r="C337" s="132" t="s">
        <v>1002</v>
      </c>
      <c r="D337" s="133"/>
      <c r="E337" s="15"/>
      <c r="F337" s="43"/>
      <c r="G337" s="72"/>
      <c r="H337" s="5"/>
    </row>
    <row r="338" spans="1:8" x14ac:dyDescent="0.25">
      <c r="A338" s="4" t="s">
        <v>247</v>
      </c>
      <c r="B338" s="14" t="s">
        <v>583</v>
      </c>
      <c r="C338" s="130" t="s">
        <v>1003</v>
      </c>
      <c r="D338" s="131"/>
      <c r="E338" s="14" t="s">
        <v>1168</v>
      </c>
      <c r="F338" s="24">
        <v>2.8</v>
      </c>
      <c r="G338" s="46">
        <v>0</v>
      </c>
      <c r="H338" s="5"/>
    </row>
    <row r="339" spans="1:8" x14ac:dyDescent="0.25">
      <c r="A339" s="64"/>
      <c r="B339" s="15" t="s">
        <v>584</v>
      </c>
      <c r="C339" s="132" t="s">
        <v>1004</v>
      </c>
      <c r="D339" s="133"/>
      <c r="E339" s="15"/>
      <c r="F339" s="43"/>
      <c r="G339" s="72"/>
      <c r="H339" s="5"/>
    </row>
    <row r="340" spans="1:8" x14ac:dyDescent="0.25">
      <c r="A340" s="4" t="s">
        <v>248</v>
      </c>
      <c r="B340" s="14" t="s">
        <v>585</v>
      </c>
      <c r="C340" s="130" t="s">
        <v>1005</v>
      </c>
      <c r="D340" s="131"/>
      <c r="E340" s="14" t="s">
        <v>1168</v>
      </c>
      <c r="F340" s="24">
        <v>2</v>
      </c>
      <c r="G340" s="46">
        <v>0</v>
      </c>
      <c r="H340" s="5"/>
    </row>
    <row r="341" spans="1:8" x14ac:dyDescent="0.25">
      <c r="A341" s="64"/>
      <c r="B341" s="15" t="s">
        <v>586</v>
      </c>
      <c r="C341" s="132" t="s">
        <v>1006</v>
      </c>
      <c r="D341" s="133"/>
      <c r="E341" s="15"/>
      <c r="F341" s="43"/>
      <c r="G341" s="72"/>
      <c r="H341" s="5"/>
    </row>
    <row r="342" spans="1:8" x14ac:dyDescent="0.25">
      <c r="A342" s="4" t="s">
        <v>249</v>
      </c>
      <c r="B342" s="14" t="s">
        <v>587</v>
      </c>
      <c r="C342" s="130" t="s">
        <v>1007</v>
      </c>
      <c r="D342" s="131"/>
      <c r="E342" s="14" t="s">
        <v>1168</v>
      </c>
      <c r="F342" s="24">
        <v>1.5</v>
      </c>
      <c r="G342" s="46">
        <v>0</v>
      </c>
      <c r="H342" s="5"/>
    </row>
    <row r="343" spans="1:8" x14ac:dyDescent="0.25">
      <c r="A343" s="64"/>
      <c r="B343" s="15" t="s">
        <v>588</v>
      </c>
      <c r="C343" s="132" t="s">
        <v>1008</v>
      </c>
      <c r="D343" s="133"/>
      <c r="E343" s="15"/>
      <c r="F343" s="43"/>
      <c r="G343" s="72"/>
      <c r="H343" s="5"/>
    </row>
    <row r="344" spans="1:8" x14ac:dyDescent="0.25">
      <c r="A344" s="4" t="s">
        <v>250</v>
      </c>
      <c r="B344" s="14" t="s">
        <v>589</v>
      </c>
      <c r="C344" s="130" t="s">
        <v>1009</v>
      </c>
      <c r="D344" s="131"/>
      <c r="E344" s="14" t="s">
        <v>1168</v>
      </c>
      <c r="F344" s="24">
        <v>18.5</v>
      </c>
      <c r="G344" s="46">
        <v>0</v>
      </c>
      <c r="H344" s="5"/>
    </row>
    <row r="345" spans="1:8" x14ac:dyDescent="0.25">
      <c r="A345" s="64"/>
      <c r="B345" s="15" t="s">
        <v>590</v>
      </c>
      <c r="C345" s="132" t="s">
        <v>1010</v>
      </c>
      <c r="D345" s="133"/>
      <c r="E345" s="15"/>
      <c r="F345" s="43"/>
      <c r="G345" s="72"/>
      <c r="H345" s="5"/>
    </row>
    <row r="346" spans="1:8" x14ac:dyDescent="0.25">
      <c r="A346" s="4" t="s">
        <v>251</v>
      </c>
      <c r="B346" s="14" t="s">
        <v>591</v>
      </c>
      <c r="C346" s="130" t="s">
        <v>1011</v>
      </c>
      <c r="D346" s="131"/>
      <c r="E346" s="14" t="s">
        <v>1168</v>
      </c>
      <c r="F346" s="24">
        <v>9.5</v>
      </c>
      <c r="G346" s="46">
        <v>0</v>
      </c>
      <c r="H346" s="5"/>
    </row>
    <row r="347" spans="1:8" x14ac:dyDescent="0.25">
      <c r="A347" s="64"/>
      <c r="B347" s="15" t="s">
        <v>592</v>
      </c>
      <c r="C347" s="132" t="s">
        <v>1012</v>
      </c>
      <c r="D347" s="133"/>
      <c r="E347" s="15"/>
      <c r="F347" s="43"/>
      <c r="G347" s="72"/>
      <c r="H347" s="5"/>
    </row>
    <row r="348" spans="1:8" x14ac:dyDescent="0.25">
      <c r="A348" s="4" t="s">
        <v>252</v>
      </c>
      <c r="B348" s="14" t="s">
        <v>593</v>
      </c>
      <c r="C348" s="130" t="s">
        <v>1013</v>
      </c>
      <c r="D348" s="131"/>
      <c r="E348" s="14" t="s">
        <v>1168</v>
      </c>
      <c r="F348" s="24">
        <v>0.2</v>
      </c>
      <c r="G348" s="46">
        <v>0</v>
      </c>
      <c r="H348" s="5"/>
    </row>
    <row r="349" spans="1:8" x14ac:dyDescent="0.25">
      <c r="A349" s="64"/>
      <c r="B349" s="15" t="s">
        <v>594</v>
      </c>
      <c r="C349" s="132" t="s">
        <v>1014</v>
      </c>
      <c r="D349" s="133"/>
      <c r="E349" s="15"/>
      <c r="F349" s="43"/>
      <c r="G349" s="72"/>
      <c r="H349" s="5"/>
    </row>
    <row r="350" spans="1:8" x14ac:dyDescent="0.25">
      <c r="A350" s="4" t="s">
        <v>253</v>
      </c>
      <c r="B350" s="14" t="s">
        <v>595</v>
      </c>
      <c r="C350" s="130" t="s">
        <v>1015</v>
      </c>
      <c r="D350" s="131"/>
      <c r="E350" s="14" t="s">
        <v>1168</v>
      </c>
      <c r="F350" s="24">
        <v>0.2</v>
      </c>
      <c r="G350" s="46">
        <v>0</v>
      </c>
      <c r="H350" s="5"/>
    </row>
    <row r="351" spans="1:8" x14ac:dyDescent="0.25">
      <c r="A351" s="64"/>
      <c r="B351" s="15" t="s">
        <v>596</v>
      </c>
      <c r="C351" s="132" t="s">
        <v>1016</v>
      </c>
      <c r="D351" s="133"/>
      <c r="E351" s="15"/>
      <c r="F351" s="43"/>
      <c r="G351" s="72"/>
      <c r="H351" s="5"/>
    </row>
    <row r="352" spans="1:8" x14ac:dyDescent="0.25">
      <c r="A352" s="4" t="s">
        <v>254</v>
      </c>
      <c r="B352" s="14" t="s">
        <v>597</v>
      </c>
      <c r="C352" s="130" t="s">
        <v>1017</v>
      </c>
      <c r="D352" s="131"/>
      <c r="E352" s="14" t="s">
        <v>1168</v>
      </c>
      <c r="F352" s="24">
        <v>0.1</v>
      </c>
      <c r="G352" s="46">
        <v>0</v>
      </c>
      <c r="H352" s="5"/>
    </row>
    <row r="353" spans="1:8" x14ac:dyDescent="0.25">
      <c r="A353" s="64"/>
      <c r="B353" s="15" t="s">
        <v>598</v>
      </c>
      <c r="C353" s="132" t="s">
        <v>791</v>
      </c>
      <c r="D353" s="133"/>
      <c r="E353" s="15"/>
      <c r="F353" s="43"/>
      <c r="G353" s="72"/>
      <c r="H353" s="5"/>
    </row>
    <row r="354" spans="1:8" x14ac:dyDescent="0.25">
      <c r="A354" s="4" t="s">
        <v>255</v>
      </c>
      <c r="B354" s="14" t="s">
        <v>599</v>
      </c>
      <c r="C354" s="130" t="s">
        <v>1018</v>
      </c>
      <c r="D354" s="131"/>
      <c r="E354" s="14" t="s">
        <v>1168</v>
      </c>
      <c r="F354" s="24">
        <v>0.1</v>
      </c>
      <c r="G354" s="46">
        <v>0</v>
      </c>
      <c r="H354" s="5"/>
    </row>
    <row r="355" spans="1:8" x14ac:dyDescent="0.25">
      <c r="A355" s="64"/>
      <c r="B355" s="15" t="s">
        <v>600</v>
      </c>
      <c r="C355" s="132" t="s">
        <v>798</v>
      </c>
      <c r="D355" s="133"/>
      <c r="E355" s="15"/>
      <c r="F355" s="43"/>
      <c r="G355" s="72"/>
      <c r="H355" s="5"/>
    </row>
    <row r="356" spans="1:8" x14ac:dyDescent="0.25">
      <c r="A356" s="4" t="s">
        <v>256</v>
      </c>
      <c r="B356" s="14" t="s">
        <v>601</v>
      </c>
      <c r="C356" s="130" t="s">
        <v>1019</v>
      </c>
      <c r="D356" s="131"/>
      <c r="E356" s="14" t="s">
        <v>1168</v>
      </c>
      <c r="F356" s="24">
        <v>0.1</v>
      </c>
      <c r="G356" s="46">
        <v>0</v>
      </c>
      <c r="H356" s="5"/>
    </row>
    <row r="357" spans="1:8" x14ac:dyDescent="0.25">
      <c r="A357" s="64"/>
      <c r="B357" s="15" t="s">
        <v>602</v>
      </c>
      <c r="C357" s="132" t="s">
        <v>811</v>
      </c>
      <c r="D357" s="133"/>
      <c r="E357" s="15"/>
      <c r="F357" s="43"/>
      <c r="G357" s="72"/>
      <c r="H357" s="5"/>
    </row>
    <row r="358" spans="1:8" x14ac:dyDescent="0.25">
      <c r="A358" s="4" t="s">
        <v>257</v>
      </c>
      <c r="B358" s="14" t="s">
        <v>603</v>
      </c>
      <c r="C358" s="130" t="s">
        <v>1020</v>
      </c>
      <c r="D358" s="131"/>
      <c r="E358" s="14" t="s">
        <v>1168</v>
      </c>
      <c r="F358" s="24">
        <v>0.3</v>
      </c>
      <c r="G358" s="46">
        <v>0</v>
      </c>
      <c r="H358" s="5"/>
    </row>
    <row r="359" spans="1:8" x14ac:dyDescent="0.25">
      <c r="A359" s="64"/>
      <c r="B359" s="15" t="s">
        <v>604</v>
      </c>
      <c r="C359" s="132" t="s">
        <v>830</v>
      </c>
      <c r="D359" s="133"/>
      <c r="E359" s="15"/>
      <c r="F359" s="43"/>
      <c r="G359" s="72"/>
      <c r="H359" s="5"/>
    </row>
    <row r="360" spans="1:8" x14ac:dyDescent="0.25">
      <c r="A360" s="4" t="s">
        <v>258</v>
      </c>
      <c r="B360" s="14" t="s">
        <v>605</v>
      </c>
      <c r="C360" s="130" t="s">
        <v>1021</v>
      </c>
      <c r="D360" s="131"/>
      <c r="E360" s="14" t="s">
        <v>1168</v>
      </c>
      <c r="F360" s="24">
        <v>2.8</v>
      </c>
      <c r="G360" s="46">
        <v>0</v>
      </c>
      <c r="H360" s="5"/>
    </row>
    <row r="361" spans="1:8" x14ac:dyDescent="0.25">
      <c r="A361" s="64"/>
      <c r="B361" s="15" t="s">
        <v>606</v>
      </c>
      <c r="C361" s="132" t="s">
        <v>863</v>
      </c>
      <c r="D361" s="133"/>
      <c r="E361" s="15"/>
      <c r="F361" s="43"/>
      <c r="G361" s="72"/>
      <c r="H361" s="5"/>
    </row>
    <row r="362" spans="1:8" x14ac:dyDescent="0.25">
      <c r="A362" s="4" t="s">
        <v>259</v>
      </c>
      <c r="B362" s="14" t="s">
        <v>607</v>
      </c>
      <c r="C362" s="130" t="s">
        <v>1022</v>
      </c>
      <c r="D362" s="131"/>
      <c r="E362" s="14" t="s">
        <v>1168</v>
      </c>
      <c r="F362" s="24">
        <v>1.4</v>
      </c>
      <c r="G362" s="46">
        <v>0</v>
      </c>
      <c r="H362" s="5"/>
    </row>
    <row r="363" spans="1:8" x14ac:dyDescent="0.25">
      <c r="A363" s="64"/>
      <c r="B363" s="15" t="s">
        <v>608</v>
      </c>
      <c r="C363" s="132" t="s">
        <v>884</v>
      </c>
      <c r="D363" s="133"/>
      <c r="E363" s="15"/>
      <c r="F363" s="43"/>
      <c r="G363" s="72"/>
      <c r="H363" s="5"/>
    </row>
    <row r="364" spans="1:8" x14ac:dyDescent="0.25">
      <c r="A364" s="4" t="s">
        <v>260</v>
      </c>
      <c r="B364" s="14" t="s">
        <v>609</v>
      </c>
      <c r="C364" s="130" t="s">
        <v>1023</v>
      </c>
      <c r="D364" s="131"/>
      <c r="E364" s="14" t="s">
        <v>1168</v>
      </c>
      <c r="F364" s="24">
        <v>1.1000000000000001</v>
      </c>
      <c r="G364" s="46">
        <v>0</v>
      </c>
      <c r="H364" s="5"/>
    </row>
    <row r="365" spans="1:8" x14ac:dyDescent="0.25">
      <c r="A365" s="64"/>
      <c r="B365" s="15" t="s">
        <v>610</v>
      </c>
      <c r="C365" s="132" t="s">
        <v>896</v>
      </c>
      <c r="D365" s="133"/>
      <c r="E365" s="15"/>
      <c r="F365" s="43"/>
      <c r="G365" s="72"/>
      <c r="H365" s="5"/>
    </row>
    <row r="366" spans="1:8" x14ac:dyDescent="0.25">
      <c r="A366" s="4" t="s">
        <v>261</v>
      </c>
      <c r="B366" s="14" t="s">
        <v>611</v>
      </c>
      <c r="C366" s="130" t="s">
        <v>1024</v>
      </c>
      <c r="D366" s="131"/>
      <c r="E366" s="14" t="s">
        <v>1168</v>
      </c>
      <c r="F366" s="24">
        <v>0.2</v>
      </c>
      <c r="G366" s="46">
        <v>0</v>
      </c>
      <c r="H366" s="5"/>
    </row>
    <row r="367" spans="1:8" x14ac:dyDescent="0.25">
      <c r="A367" s="64"/>
      <c r="B367" s="15" t="s">
        <v>612</v>
      </c>
      <c r="C367" s="132" t="s">
        <v>1025</v>
      </c>
      <c r="D367" s="133"/>
      <c r="E367" s="15"/>
      <c r="F367" s="43"/>
      <c r="G367" s="72"/>
      <c r="H367" s="5"/>
    </row>
    <row r="368" spans="1:8" x14ac:dyDescent="0.25">
      <c r="A368" s="4" t="s">
        <v>262</v>
      </c>
      <c r="B368" s="14" t="s">
        <v>613</v>
      </c>
      <c r="C368" s="130" t="s">
        <v>1026</v>
      </c>
      <c r="D368" s="131"/>
      <c r="E368" s="14" t="s">
        <v>1173</v>
      </c>
      <c r="F368" s="24">
        <v>16</v>
      </c>
      <c r="G368" s="46">
        <v>0</v>
      </c>
      <c r="H368" s="5"/>
    </row>
    <row r="369" spans="1:8" x14ac:dyDescent="0.25">
      <c r="A369" s="4" t="s">
        <v>263</v>
      </c>
      <c r="B369" s="14" t="s">
        <v>614</v>
      </c>
      <c r="C369" s="130" t="s">
        <v>1027</v>
      </c>
      <c r="D369" s="131"/>
      <c r="E369" s="14" t="s">
        <v>1174</v>
      </c>
      <c r="F369" s="24">
        <v>12</v>
      </c>
      <c r="G369" s="46">
        <v>0</v>
      </c>
      <c r="H369" s="5"/>
    </row>
    <row r="370" spans="1:8" x14ac:dyDescent="0.25">
      <c r="A370" s="4" t="s">
        <v>264</v>
      </c>
      <c r="B370" s="14" t="s">
        <v>615</v>
      </c>
      <c r="C370" s="130" t="s">
        <v>1028</v>
      </c>
      <c r="D370" s="131"/>
      <c r="E370" s="14" t="s">
        <v>1168</v>
      </c>
      <c r="F370" s="24">
        <v>3.3</v>
      </c>
      <c r="G370" s="46">
        <v>0</v>
      </c>
      <c r="H370" s="5"/>
    </row>
    <row r="371" spans="1:8" x14ac:dyDescent="0.25">
      <c r="A371" s="64"/>
      <c r="B371" s="15" t="s">
        <v>616</v>
      </c>
      <c r="C371" s="132" t="s">
        <v>1029</v>
      </c>
      <c r="D371" s="133"/>
      <c r="E371" s="15"/>
      <c r="F371" s="43"/>
      <c r="G371" s="72"/>
      <c r="H371" s="5"/>
    </row>
    <row r="372" spans="1:8" x14ac:dyDescent="0.25">
      <c r="A372" s="4" t="s">
        <v>265</v>
      </c>
      <c r="B372" s="14" t="s">
        <v>617</v>
      </c>
      <c r="C372" s="130" t="s">
        <v>1030</v>
      </c>
      <c r="D372" s="131"/>
      <c r="E372" s="14" t="s">
        <v>1170</v>
      </c>
      <c r="F372" s="24">
        <v>2</v>
      </c>
      <c r="G372" s="46">
        <v>0</v>
      </c>
      <c r="H372" s="5"/>
    </row>
    <row r="373" spans="1:8" x14ac:dyDescent="0.25">
      <c r="A373" s="4" t="s">
        <v>266</v>
      </c>
      <c r="B373" s="14" t="s">
        <v>618</v>
      </c>
      <c r="C373" s="130" t="s">
        <v>1031</v>
      </c>
      <c r="D373" s="131"/>
      <c r="E373" s="14" t="s">
        <v>1170</v>
      </c>
      <c r="F373" s="24">
        <v>1</v>
      </c>
      <c r="G373" s="46">
        <v>0</v>
      </c>
      <c r="H373" s="5"/>
    </row>
    <row r="374" spans="1:8" x14ac:dyDescent="0.25">
      <c r="A374" s="4" t="s">
        <v>267</v>
      </c>
      <c r="B374" s="14" t="s">
        <v>619</v>
      </c>
      <c r="C374" s="130" t="s">
        <v>1032</v>
      </c>
      <c r="D374" s="131"/>
      <c r="E374" s="14" t="s">
        <v>1170</v>
      </c>
      <c r="F374" s="24">
        <v>1</v>
      </c>
      <c r="G374" s="46">
        <v>0</v>
      </c>
      <c r="H374" s="5"/>
    </row>
    <row r="375" spans="1:8" x14ac:dyDescent="0.25">
      <c r="A375" s="4" t="s">
        <v>268</v>
      </c>
      <c r="B375" s="14" t="s">
        <v>620</v>
      </c>
      <c r="C375" s="130" t="s">
        <v>1033</v>
      </c>
      <c r="D375" s="131"/>
      <c r="E375" s="14" t="s">
        <v>1170</v>
      </c>
      <c r="F375" s="24">
        <v>1</v>
      </c>
      <c r="G375" s="46">
        <v>0</v>
      </c>
      <c r="H375" s="5"/>
    </row>
    <row r="376" spans="1:8" x14ac:dyDescent="0.25">
      <c r="A376" s="4" t="s">
        <v>269</v>
      </c>
      <c r="B376" s="14" t="s">
        <v>621</v>
      </c>
      <c r="C376" s="130" t="s">
        <v>1034</v>
      </c>
      <c r="D376" s="131"/>
      <c r="E376" s="14" t="s">
        <v>1170</v>
      </c>
      <c r="F376" s="24">
        <v>1</v>
      </c>
      <c r="G376" s="46">
        <v>0</v>
      </c>
      <c r="H376" s="5"/>
    </row>
    <row r="377" spans="1:8" x14ac:dyDescent="0.25">
      <c r="A377" s="4" t="s">
        <v>270</v>
      </c>
      <c r="B377" s="14" t="s">
        <v>622</v>
      </c>
      <c r="C377" s="130" t="s">
        <v>1035</v>
      </c>
      <c r="D377" s="131"/>
      <c r="E377" s="14" t="s">
        <v>1170</v>
      </c>
      <c r="F377" s="24">
        <v>1</v>
      </c>
      <c r="G377" s="46">
        <v>0</v>
      </c>
      <c r="H377" s="5"/>
    </row>
    <row r="378" spans="1:8" x14ac:dyDescent="0.25">
      <c r="A378" s="64"/>
      <c r="B378" s="15" t="s">
        <v>623</v>
      </c>
      <c r="C378" s="132" t="s">
        <v>1036</v>
      </c>
      <c r="D378" s="133"/>
      <c r="E378" s="15"/>
      <c r="F378" s="43"/>
      <c r="G378" s="72"/>
      <c r="H378" s="5"/>
    </row>
    <row r="379" spans="1:8" x14ac:dyDescent="0.25">
      <c r="A379" s="4" t="s">
        <v>271</v>
      </c>
      <c r="B379" s="14" t="s">
        <v>624</v>
      </c>
      <c r="C379" s="130" t="s">
        <v>1037</v>
      </c>
      <c r="D379" s="131"/>
      <c r="E379" s="14" t="s">
        <v>1165</v>
      </c>
      <c r="F379" s="24">
        <v>3</v>
      </c>
      <c r="G379" s="46">
        <v>0</v>
      </c>
      <c r="H379" s="5"/>
    </row>
    <row r="380" spans="1:8" x14ac:dyDescent="0.25">
      <c r="A380" s="4" t="s">
        <v>272</v>
      </c>
      <c r="B380" s="14" t="s">
        <v>625</v>
      </c>
      <c r="C380" s="130" t="s">
        <v>1038</v>
      </c>
      <c r="D380" s="131"/>
      <c r="E380" s="14" t="s">
        <v>1165</v>
      </c>
      <c r="F380" s="24">
        <v>16</v>
      </c>
      <c r="G380" s="46">
        <v>0</v>
      </c>
      <c r="H380" s="5"/>
    </row>
    <row r="381" spans="1:8" x14ac:dyDescent="0.25">
      <c r="A381" s="4" t="s">
        <v>273</v>
      </c>
      <c r="B381" s="14" t="s">
        <v>626</v>
      </c>
      <c r="C381" s="130" t="s">
        <v>1039</v>
      </c>
      <c r="D381" s="131"/>
      <c r="E381" s="14" t="s">
        <v>1170</v>
      </c>
      <c r="F381" s="24">
        <v>3</v>
      </c>
      <c r="G381" s="46">
        <v>0</v>
      </c>
      <c r="H381" s="5"/>
    </row>
    <row r="382" spans="1:8" x14ac:dyDescent="0.25">
      <c r="A382" s="4" t="s">
        <v>274</v>
      </c>
      <c r="B382" s="14" t="s">
        <v>626</v>
      </c>
      <c r="C382" s="130" t="s">
        <v>1040</v>
      </c>
      <c r="D382" s="131"/>
      <c r="E382" s="14" t="s">
        <v>1170</v>
      </c>
      <c r="F382" s="24">
        <v>1</v>
      </c>
      <c r="G382" s="46">
        <v>0</v>
      </c>
      <c r="H382" s="5"/>
    </row>
    <row r="383" spans="1:8" x14ac:dyDescent="0.25">
      <c r="A383" s="4" t="s">
        <v>275</v>
      </c>
      <c r="B383" s="14" t="s">
        <v>627</v>
      </c>
      <c r="C383" s="130" t="s">
        <v>1041</v>
      </c>
      <c r="D383" s="131"/>
      <c r="E383" s="14" t="s">
        <v>1170</v>
      </c>
      <c r="F383" s="24">
        <v>6</v>
      </c>
      <c r="G383" s="46">
        <v>0</v>
      </c>
      <c r="H383" s="5"/>
    </row>
    <row r="384" spans="1:8" x14ac:dyDescent="0.25">
      <c r="A384" s="4" t="s">
        <v>276</v>
      </c>
      <c r="B384" s="14" t="s">
        <v>628</v>
      </c>
      <c r="C384" s="130" t="s">
        <v>1042</v>
      </c>
      <c r="D384" s="131"/>
      <c r="E384" s="14" t="s">
        <v>1170</v>
      </c>
      <c r="F384" s="24">
        <v>4</v>
      </c>
      <c r="G384" s="46">
        <v>0</v>
      </c>
      <c r="H384" s="5"/>
    </row>
    <row r="385" spans="1:8" x14ac:dyDescent="0.25">
      <c r="A385" s="4" t="s">
        <v>277</v>
      </c>
      <c r="B385" s="14" t="s">
        <v>629</v>
      </c>
      <c r="C385" s="130" t="s">
        <v>1043</v>
      </c>
      <c r="D385" s="131"/>
      <c r="E385" s="14" t="s">
        <v>1170</v>
      </c>
      <c r="F385" s="24">
        <v>1</v>
      </c>
      <c r="G385" s="46">
        <v>0</v>
      </c>
      <c r="H385" s="5"/>
    </row>
    <row r="386" spans="1:8" x14ac:dyDescent="0.25">
      <c r="A386" s="4" t="s">
        <v>278</v>
      </c>
      <c r="B386" s="14" t="s">
        <v>630</v>
      </c>
      <c r="C386" s="130" t="s">
        <v>1044</v>
      </c>
      <c r="D386" s="131"/>
      <c r="E386" s="14" t="s">
        <v>1170</v>
      </c>
      <c r="F386" s="24">
        <v>1</v>
      </c>
      <c r="G386" s="46">
        <v>0</v>
      </c>
      <c r="H386" s="5"/>
    </row>
    <row r="387" spans="1:8" x14ac:dyDescent="0.25">
      <c r="A387" s="4" t="s">
        <v>279</v>
      </c>
      <c r="B387" s="14" t="s">
        <v>631</v>
      </c>
      <c r="C387" s="130" t="s">
        <v>1045</v>
      </c>
      <c r="D387" s="131"/>
      <c r="E387" s="14" t="s">
        <v>1170</v>
      </c>
      <c r="F387" s="24">
        <v>8</v>
      </c>
      <c r="G387" s="46">
        <v>0</v>
      </c>
      <c r="H387" s="5"/>
    </row>
    <row r="388" spans="1:8" x14ac:dyDescent="0.25">
      <c r="A388" s="4" t="s">
        <v>280</v>
      </c>
      <c r="B388" s="14" t="s">
        <v>631</v>
      </c>
      <c r="C388" s="130" t="s">
        <v>1046</v>
      </c>
      <c r="D388" s="131"/>
      <c r="E388" s="14" t="s">
        <v>1170</v>
      </c>
      <c r="F388" s="24">
        <v>1</v>
      </c>
      <c r="G388" s="46">
        <v>0</v>
      </c>
      <c r="H388" s="5"/>
    </row>
    <row r="389" spans="1:8" x14ac:dyDescent="0.25">
      <c r="A389" s="4" t="s">
        <v>281</v>
      </c>
      <c r="B389" s="14" t="s">
        <v>631</v>
      </c>
      <c r="C389" s="130" t="s">
        <v>1047</v>
      </c>
      <c r="D389" s="131"/>
      <c r="E389" s="14" t="s">
        <v>1171</v>
      </c>
      <c r="F389" s="24">
        <v>1</v>
      </c>
      <c r="G389" s="46">
        <v>0</v>
      </c>
      <c r="H389" s="5"/>
    </row>
    <row r="390" spans="1:8" x14ac:dyDescent="0.25">
      <c r="A390" s="4" t="s">
        <v>282</v>
      </c>
      <c r="B390" s="14" t="s">
        <v>631</v>
      </c>
      <c r="C390" s="130" t="s">
        <v>1048</v>
      </c>
      <c r="D390" s="131"/>
      <c r="E390" s="14" t="s">
        <v>1171</v>
      </c>
      <c r="F390" s="24">
        <v>1</v>
      </c>
      <c r="G390" s="46">
        <v>0</v>
      </c>
      <c r="H390" s="5"/>
    </row>
    <row r="391" spans="1:8" x14ac:dyDescent="0.25">
      <c r="A391" s="4" t="s">
        <v>283</v>
      </c>
      <c r="B391" s="14" t="s">
        <v>632</v>
      </c>
      <c r="C391" s="130" t="s">
        <v>1049</v>
      </c>
      <c r="D391" s="131"/>
      <c r="E391" s="14" t="s">
        <v>1165</v>
      </c>
      <c r="F391" s="24">
        <v>3</v>
      </c>
      <c r="G391" s="46">
        <v>0</v>
      </c>
      <c r="H391" s="5"/>
    </row>
    <row r="392" spans="1:8" x14ac:dyDescent="0.25">
      <c r="A392" s="4" t="s">
        <v>284</v>
      </c>
      <c r="B392" s="14" t="s">
        <v>633</v>
      </c>
      <c r="C392" s="130" t="s">
        <v>1050</v>
      </c>
      <c r="D392" s="131"/>
      <c r="E392" s="14" t="s">
        <v>1165</v>
      </c>
      <c r="F392" s="24">
        <v>10</v>
      </c>
      <c r="G392" s="46">
        <v>0</v>
      </c>
      <c r="H392" s="5"/>
    </row>
    <row r="393" spans="1:8" x14ac:dyDescent="0.25">
      <c r="A393" s="4" t="s">
        <v>285</v>
      </c>
      <c r="B393" s="14" t="s">
        <v>634</v>
      </c>
      <c r="C393" s="130" t="s">
        <v>1051</v>
      </c>
      <c r="D393" s="131"/>
      <c r="E393" s="14" t="s">
        <v>1165</v>
      </c>
      <c r="F393" s="24">
        <v>90</v>
      </c>
      <c r="G393" s="46">
        <v>0</v>
      </c>
      <c r="H393" s="5"/>
    </row>
    <row r="394" spans="1:8" x14ac:dyDescent="0.25">
      <c r="A394" s="4" t="s">
        <v>286</v>
      </c>
      <c r="B394" s="14" t="s">
        <v>635</v>
      </c>
      <c r="C394" s="130" t="s">
        <v>1052</v>
      </c>
      <c r="D394" s="131"/>
      <c r="E394" s="14" t="s">
        <v>1165</v>
      </c>
      <c r="F394" s="24">
        <v>15</v>
      </c>
      <c r="G394" s="46">
        <v>0</v>
      </c>
      <c r="H394" s="5"/>
    </row>
    <row r="395" spans="1:8" x14ac:dyDescent="0.25">
      <c r="A395" s="4" t="s">
        <v>287</v>
      </c>
      <c r="B395" s="14" t="s">
        <v>636</v>
      </c>
      <c r="C395" s="130" t="s">
        <v>1053</v>
      </c>
      <c r="D395" s="131"/>
      <c r="E395" s="14" t="s">
        <v>1165</v>
      </c>
      <c r="F395" s="24">
        <v>90</v>
      </c>
      <c r="G395" s="46">
        <v>0</v>
      </c>
      <c r="H395" s="5"/>
    </row>
    <row r="396" spans="1:8" x14ac:dyDescent="0.25">
      <c r="A396" s="4" t="s">
        <v>288</v>
      </c>
      <c r="B396" s="14" t="s">
        <v>637</v>
      </c>
      <c r="C396" s="130" t="s">
        <v>1054</v>
      </c>
      <c r="D396" s="131"/>
      <c r="E396" s="14" t="s">
        <v>1170</v>
      </c>
      <c r="F396" s="24">
        <v>8</v>
      </c>
      <c r="G396" s="46">
        <v>0</v>
      </c>
      <c r="H396" s="5"/>
    </row>
    <row r="397" spans="1:8" x14ac:dyDescent="0.25">
      <c r="A397" s="4" t="s">
        <v>289</v>
      </c>
      <c r="B397" s="14" t="s">
        <v>638</v>
      </c>
      <c r="C397" s="130" t="s">
        <v>1055</v>
      </c>
      <c r="D397" s="131"/>
      <c r="E397" s="14" t="s">
        <v>1170</v>
      </c>
      <c r="F397" s="24">
        <v>40</v>
      </c>
      <c r="G397" s="46">
        <v>0</v>
      </c>
      <c r="H397" s="5"/>
    </row>
    <row r="398" spans="1:8" x14ac:dyDescent="0.25">
      <c r="A398" s="4" t="s">
        <v>290</v>
      </c>
      <c r="B398" s="14" t="s">
        <v>639</v>
      </c>
      <c r="C398" s="130" t="s">
        <v>1056</v>
      </c>
      <c r="D398" s="131"/>
      <c r="E398" s="14" t="s">
        <v>1170</v>
      </c>
      <c r="F398" s="24">
        <v>1</v>
      </c>
      <c r="G398" s="46">
        <v>0</v>
      </c>
      <c r="H398" s="5"/>
    </row>
    <row r="399" spans="1:8" ht="12.15" customHeight="1" x14ac:dyDescent="0.25">
      <c r="A399" s="4"/>
      <c r="B399" s="14"/>
      <c r="C399" s="65"/>
      <c r="D399" s="150" t="s">
        <v>1144</v>
      </c>
      <c r="E399" s="150"/>
      <c r="F399" s="67">
        <v>0</v>
      </c>
      <c r="G399" s="71"/>
      <c r="H399" s="5"/>
    </row>
    <row r="400" spans="1:8" x14ac:dyDescent="0.25">
      <c r="A400" s="4" t="s">
        <v>291</v>
      </c>
      <c r="B400" s="14" t="s">
        <v>640</v>
      </c>
      <c r="C400" s="130" t="s">
        <v>1057</v>
      </c>
      <c r="D400" s="131"/>
      <c r="E400" s="14" t="s">
        <v>1170</v>
      </c>
      <c r="F400" s="24">
        <v>1</v>
      </c>
      <c r="G400" s="46">
        <v>0</v>
      </c>
      <c r="H400" s="5"/>
    </row>
    <row r="401" spans="1:8" x14ac:dyDescent="0.25">
      <c r="A401" s="4" t="s">
        <v>292</v>
      </c>
      <c r="B401" s="14" t="s">
        <v>641</v>
      </c>
      <c r="C401" s="130" t="s">
        <v>1058</v>
      </c>
      <c r="D401" s="131"/>
      <c r="E401" s="14" t="s">
        <v>1170</v>
      </c>
      <c r="F401" s="24">
        <v>1</v>
      </c>
      <c r="G401" s="46">
        <v>0</v>
      </c>
      <c r="H401" s="5"/>
    </row>
    <row r="402" spans="1:8" x14ac:dyDescent="0.25">
      <c r="A402" s="4" t="s">
        <v>293</v>
      </c>
      <c r="B402" s="14" t="s">
        <v>641</v>
      </c>
      <c r="C402" s="130" t="s">
        <v>1059</v>
      </c>
      <c r="D402" s="131"/>
      <c r="E402" s="14" t="s">
        <v>1170</v>
      </c>
      <c r="F402" s="24">
        <v>1</v>
      </c>
      <c r="G402" s="46">
        <v>0</v>
      </c>
      <c r="H402" s="5"/>
    </row>
    <row r="403" spans="1:8" x14ac:dyDescent="0.25">
      <c r="A403" s="4" t="s">
        <v>294</v>
      </c>
      <c r="B403" s="14" t="s">
        <v>642</v>
      </c>
      <c r="C403" s="130" t="s">
        <v>1060</v>
      </c>
      <c r="D403" s="131"/>
      <c r="E403" s="14" t="s">
        <v>1170</v>
      </c>
      <c r="F403" s="24">
        <v>3</v>
      </c>
      <c r="G403" s="46">
        <v>0</v>
      </c>
      <c r="H403" s="5"/>
    </row>
    <row r="404" spans="1:8" x14ac:dyDescent="0.25">
      <c r="A404" s="4" t="s">
        <v>295</v>
      </c>
      <c r="B404" s="14" t="s">
        <v>643</v>
      </c>
      <c r="C404" s="130" t="s">
        <v>1061</v>
      </c>
      <c r="D404" s="131"/>
      <c r="E404" s="14" t="s">
        <v>1170</v>
      </c>
      <c r="F404" s="24">
        <v>1</v>
      </c>
      <c r="G404" s="46">
        <v>0</v>
      </c>
      <c r="H404" s="5"/>
    </row>
    <row r="405" spans="1:8" x14ac:dyDescent="0.25">
      <c r="A405" s="4" t="s">
        <v>296</v>
      </c>
      <c r="B405" s="14" t="s">
        <v>644</v>
      </c>
      <c r="C405" s="130" t="s">
        <v>1062</v>
      </c>
      <c r="D405" s="131"/>
      <c r="E405" s="14" t="s">
        <v>1170</v>
      </c>
      <c r="F405" s="24">
        <v>4</v>
      </c>
      <c r="G405" s="46">
        <v>0</v>
      </c>
      <c r="H405" s="5"/>
    </row>
    <row r="406" spans="1:8" x14ac:dyDescent="0.25">
      <c r="A406" s="4" t="s">
        <v>297</v>
      </c>
      <c r="B406" s="14" t="s">
        <v>645</v>
      </c>
      <c r="C406" s="130" t="s">
        <v>1063</v>
      </c>
      <c r="D406" s="131"/>
      <c r="E406" s="14" t="s">
        <v>1165</v>
      </c>
      <c r="F406" s="24">
        <v>20</v>
      </c>
      <c r="G406" s="46">
        <v>0</v>
      </c>
      <c r="H406" s="5"/>
    </row>
    <row r="407" spans="1:8" x14ac:dyDescent="0.25">
      <c r="A407" s="4" t="s">
        <v>298</v>
      </c>
      <c r="B407" s="14" t="s">
        <v>646</v>
      </c>
      <c r="C407" s="130" t="s">
        <v>1064</v>
      </c>
      <c r="D407" s="131"/>
      <c r="E407" s="14" t="s">
        <v>1170</v>
      </c>
      <c r="F407" s="24">
        <v>1</v>
      </c>
      <c r="G407" s="46">
        <v>0</v>
      </c>
      <c r="H407" s="5"/>
    </row>
    <row r="408" spans="1:8" ht="12.15" customHeight="1" x14ac:dyDescent="0.25">
      <c r="A408" s="4"/>
      <c r="B408" s="14"/>
      <c r="C408" s="65"/>
      <c r="D408" s="150" t="s">
        <v>1144</v>
      </c>
      <c r="E408" s="150"/>
      <c r="F408" s="67">
        <v>0</v>
      </c>
      <c r="G408" s="71"/>
      <c r="H408" s="5"/>
    </row>
    <row r="409" spans="1:8" x14ac:dyDescent="0.25">
      <c r="A409" s="4" t="s">
        <v>299</v>
      </c>
      <c r="B409" s="14" t="s">
        <v>640</v>
      </c>
      <c r="C409" s="130" t="s">
        <v>1065</v>
      </c>
      <c r="D409" s="131"/>
      <c r="E409" s="14" t="s">
        <v>1170</v>
      </c>
      <c r="F409" s="24">
        <v>1</v>
      </c>
      <c r="G409" s="46">
        <v>0</v>
      </c>
      <c r="H409" s="5"/>
    </row>
    <row r="410" spans="1:8" x14ac:dyDescent="0.25">
      <c r="A410" s="7" t="s">
        <v>300</v>
      </c>
      <c r="B410" s="16" t="s">
        <v>647</v>
      </c>
      <c r="C410" s="134" t="s">
        <v>1066</v>
      </c>
      <c r="D410" s="135"/>
      <c r="E410" s="16" t="s">
        <v>1170</v>
      </c>
      <c r="F410" s="26">
        <v>1</v>
      </c>
      <c r="G410" s="48">
        <v>0</v>
      </c>
      <c r="H410" s="5"/>
    </row>
    <row r="411" spans="1:8" ht="12.15" customHeight="1" x14ac:dyDescent="0.25">
      <c r="A411" s="7"/>
      <c r="B411" s="16"/>
      <c r="C411" s="65"/>
      <c r="D411" s="150" t="s">
        <v>1144</v>
      </c>
      <c r="E411" s="150"/>
      <c r="F411" s="68">
        <v>0</v>
      </c>
      <c r="G411" s="73"/>
      <c r="H411" s="5"/>
    </row>
    <row r="412" spans="1:8" x14ac:dyDescent="0.25">
      <c r="A412" s="7" t="s">
        <v>301</v>
      </c>
      <c r="B412" s="16" t="s">
        <v>648</v>
      </c>
      <c r="C412" s="134" t="s">
        <v>1067</v>
      </c>
      <c r="D412" s="135"/>
      <c r="E412" s="16" t="s">
        <v>1170</v>
      </c>
      <c r="F412" s="26">
        <v>1</v>
      </c>
      <c r="G412" s="48">
        <v>0</v>
      </c>
      <c r="H412" s="5"/>
    </row>
    <row r="413" spans="1:8" x14ac:dyDescent="0.25">
      <c r="A413" s="7" t="s">
        <v>302</v>
      </c>
      <c r="B413" s="16" t="s">
        <v>649</v>
      </c>
      <c r="C413" s="134" t="s">
        <v>1068</v>
      </c>
      <c r="D413" s="135"/>
      <c r="E413" s="16" t="s">
        <v>1170</v>
      </c>
      <c r="F413" s="26">
        <v>1</v>
      </c>
      <c r="G413" s="48">
        <v>0</v>
      </c>
      <c r="H413" s="5"/>
    </row>
    <row r="414" spans="1:8" x14ac:dyDescent="0.25">
      <c r="A414" s="7" t="s">
        <v>303</v>
      </c>
      <c r="B414" s="16" t="s">
        <v>650</v>
      </c>
      <c r="C414" s="134" t="s">
        <v>1069</v>
      </c>
      <c r="D414" s="135"/>
      <c r="E414" s="16" t="s">
        <v>1170</v>
      </c>
      <c r="F414" s="26">
        <v>1</v>
      </c>
      <c r="G414" s="48">
        <v>0</v>
      </c>
      <c r="H414" s="5"/>
    </row>
    <row r="415" spans="1:8" x14ac:dyDescent="0.25">
      <c r="A415" s="4" t="s">
        <v>304</v>
      </c>
      <c r="B415" s="14" t="s">
        <v>651</v>
      </c>
      <c r="C415" s="130" t="s">
        <v>1070</v>
      </c>
      <c r="D415" s="131"/>
      <c r="E415" s="14" t="s">
        <v>1170</v>
      </c>
      <c r="F415" s="24">
        <v>1</v>
      </c>
      <c r="G415" s="46">
        <v>0</v>
      </c>
      <c r="H415" s="5"/>
    </row>
    <row r="416" spans="1:8" x14ac:dyDescent="0.25">
      <c r="A416" s="7" t="s">
        <v>305</v>
      </c>
      <c r="B416" s="16" t="s">
        <v>652</v>
      </c>
      <c r="C416" s="134" t="s">
        <v>1071</v>
      </c>
      <c r="D416" s="135"/>
      <c r="E416" s="16" t="s">
        <v>1170</v>
      </c>
      <c r="F416" s="26">
        <v>1</v>
      </c>
      <c r="G416" s="48">
        <v>0</v>
      </c>
      <c r="H416" s="5"/>
    </row>
    <row r="417" spans="1:8" x14ac:dyDescent="0.25">
      <c r="A417" s="4" t="s">
        <v>306</v>
      </c>
      <c r="B417" s="14" t="s">
        <v>653</v>
      </c>
      <c r="C417" s="130" t="s">
        <v>1072</v>
      </c>
      <c r="D417" s="131"/>
      <c r="E417" s="14" t="s">
        <v>1170</v>
      </c>
      <c r="F417" s="24">
        <v>40</v>
      </c>
      <c r="G417" s="46">
        <v>0</v>
      </c>
      <c r="H417" s="5"/>
    </row>
    <row r="418" spans="1:8" x14ac:dyDescent="0.25">
      <c r="A418" s="64"/>
      <c r="B418" s="15" t="s">
        <v>654</v>
      </c>
      <c r="C418" s="132" t="s">
        <v>1073</v>
      </c>
      <c r="D418" s="133"/>
      <c r="E418" s="15"/>
      <c r="F418" s="43"/>
      <c r="G418" s="72"/>
      <c r="H418" s="5"/>
    </row>
    <row r="419" spans="1:8" x14ac:dyDescent="0.25">
      <c r="A419" s="4" t="s">
        <v>307</v>
      </c>
      <c r="B419" s="14" t="s">
        <v>655</v>
      </c>
      <c r="C419" s="130" t="s">
        <v>1074</v>
      </c>
      <c r="D419" s="131"/>
      <c r="E419" s="14" t="s">
        <v>1165</v>
      </c>
      <c r="F419" s="24">
        <v>32</v>
      </c>
      <c r="G419" s="46">
        <v>0</v>
      </c>
      <c r="H419" s="5"/>
    </row>
    <row r="420" spans="1:8" x14ac:dyDescent="0.25">
      <c r="A420" s="4" t="s">
        <v>308</v>
      </c>
      <c r="B420" s="14" t="s">
        <v>656</v>
      </c>
      <c r="C420" s="130" t="s">
        <v>1075</v>
      </c>
      <c r="D420" s="131"/>
      <c r="E420" s="14" t="s">
        <v>1165</v>
      </c>
      <c r="F420" s="24">
        <v>32</v>
      </c>
      <c r="G420" s="46">
        <v>0</v>
      </c>
      <c r="H420" s="5"/>
    </row>
    <row r="421" spans="1:8" x14ac:dyDescent="0.25">
      <c r="A421" s="7" t="s">
        <v>309</v>
      </c>
      <c r="B421" s="16" t="s">
        <v>657</v>
      </c>
      <c r="C421" s="134" t="s">
        <v>1076</v>
      </c>
      <c r="D421" s="135"/>
      <c r="E421" s="16" t="s">
        <v>1170</v>
      </c>
      <c r="F421" s="26">
        <v>2</v>
      </c>
      <c r="G421" s="48">
        <v>0</v>
      </c>
      <c r="H421" s="5"/>
    </row>
    <row r="422" spans="1:8" x14ac:dyDescent="0.25">
      <c r="A422" s="4" t="s">
        <v>310</v>
      </c>
      <c r="B422" s="14" t="s">
        <v>658</v>
      </c>
      <c r="C422" s="130" t="s">
        <v>1077</v>
      </c>
      <c r="D422" s="131"/>
      <c r="E422" s="14" t="s">
        <v>1170</v>
      </c>
      <c r="F422" s="24">
        <v>2</v>
      </c>
      <c r="G422" s="46">
        <v>0</v>
      </c>
      <c r="H422" s="5"/>
    </row>
    <row r="423" spans="1:8" x14ac:dyDescent="0.25">
      <c r="A423" s="4" t="s">
        <v>311</v>
      </c>
      <c r="B423" s="14" t="s">
        <v>659</v>
      </c>
      <c r="C423" s="130" t="s">
        <v>1078</v>
      </c>
      <c r="D423" s="131"/>
      <c r="E423" s="14" t="s">
        <v>1170</v>
      </c>
      <c r="F423" s="24">
        <v>1</v>
      </c>
      <c r="G423" s="46">
        <v>0</v>
      </c>
      <c r="H423" s="5"/>
    </row>
    <row r="424" spans="1:8" x14ac:dyDescent="0.25">
      <c r="A424" s="4" t="s">
        <v>312</v>
      </c>
      <c r="B424" s="14" t="s">
        <v>425</v>
      </c>
      <c r="C424" s="130" t="s">
        <v>813</v>
      </c>
      <c r="D424" s="131"/>
      <c r="E424" s="14" t="s">
        <v>1165</v>
      </c>
      <c r="F424" s="24">
        <v>5</v>
      </c>
      <c r="G424" s="46">
        <v>0</v>
      </c>
      <c r="H424" s="5"/>
    </row>
    <row r="425" spans="1:8" x14ac:dyDescent="0.25">
      <c r="A425" s="4" t="s">
        <v>313</v>
      </c>
      <c r="B425" s="14" t="s">
        <v>432</v>
      </c>
      <c r="C425" s="130" t="s">
        <v>1079</v>
      </c>
      <c r="D425" s="131"/>
      <c r="E425" s="14" t="s">
        <v>1170</v>
      </c>
      <c r="F425" s="24">
        <v>2</v>
      </c>
      <c r="G425" s="46">
        <v>0</v>
      </c>
      <c r="H425" s="5"/>
    </row>
    <row r="426" spans="1:8" x14ac:dyDescent="0.25">
      <c r="A426" s="4" t="s">
        <v>314</v>
      </c>
      <c r="B426" s="14" t="s">
        <v>660</v>
      </c>
      <c r="C426" s="130" t="s">
        <v>1080</v>
      </c>
      <c r="D426" s="131"/>
      <c r="E426" s="14" t="s">
        <v>1165</v>
      </c>
      <c r="F426" s="24">
        <v>1</v>
      </c>
      <c r="G426" s="46">
        <v>0</v>
      </c>
      <c r="H426" s="5"/>
    </row>
    <row r="427" spans="1:8" x14ac:dyDescent="0.25">
      <c r="A427" s="4" t="s">
        <v>315</v>
      </c>
      <c r="B427" s="14" t="s">
        <v>661</v>
      </c>
      <c r="C427" s="130" t="s">
        <v>1081</v>
      </c>
      <c r="D427" s="131"/>
      <c r="E427" s="14" t="s">
        <v>1169</v>
      </c>
      <c r="F427" s="24">
        <v>0.19</v>
      </c>
      <c r="G427" s="46">
        <v>0</v>
      </c>
      <c r="H427" s="5"/>
    </row>
    <row r="428" spans="1:8" ht="12.15" customHeight="1" x14ac:dyDescent="0.25">
      <c r="A428" s="4"/>
      <c r="B428" s="14"/>
      <c r="C428" s="65" t="s">
        <v>1082</v>
      </c>
      <c r="D428" s="150" t="s">
        <v>1156</v>
      </c>
      <c r="E428" s="150"/>
      <c r="F428" s="67">
        <v>0.19</v>
      </c>
      <c r="G428" s="71"/>
      <c r="H428" s="5"/>
    </row>
    <row r="429" spans="1:8" x14ac:dyDescent="0.25">
      <c r="A429" s="7" t="s">
        <v>316</v>
      </c>
      <c r="B429" s="16" t="s">
        <v>662</v>
      </c>
      <c r="C429" s="134" t="s">
        <v>1083</v>
      </c>
      <c r="D429" s="135"/>
      <c r="E429" s="16" t="s">
        <v>1165</v>
      </c>
      <c r="F429" s="26">
        <v>2</v>
      </c>
      <c r="G429" s="48">
        <v>0</v>
      </c>
      <c r="H429" s="5"/>
    </row>
    <row r="430" spans="1:8" ht="12.15" customHeight="1" x14ac:dyDescent="0.25">
      <c r="A430" s="7"/>
      <c r="B430" s="16"/>
      <c r="C430" s="65" t="s">
        <v>1084</v>
      </c>
      <c r="D430" s="150" t="s">
        <v>1157</v>
      </c>
      <c r="E430" s="150"/>
      <c r="F430" s="68">
        <v>2</v>
      </c>
      <c r="G430" s="73"/>
      <c r="H430" s="5"/>
    </row>
    <row r="431" spans="1:8" x14ac:dyDescent="0.25">
      <c r="A431" s="4" t="s">
        <v>317</v>
      </c>
      <c r="B431" s="14" t="s">
        <v>663</v>
      </c>
      <c r="C431" s="130" t="s">
        <v>1085</v>
      </c>
      <c r="D431" s="131"/>
      <c r="E431" s="14" t="s">
        <v>1170</v>
      </c>
      <c r="F431" s="24">
        <v>2</v>
      </c>
      <c r="G431" s="46">
        <v>0</v>
      </c>
      <c r="H431" s="5"/>
    </row>
    <row r="432" spans="1:8" x14ac:dyDescent="0.25">
      <c r="A432" s="4" t="s">
        <v>318</v>
      </c>
      <c r="B432" s="14" t="s">
        <v>664</v>
      </c>
      <c r="C432" s="130" t="s">
        <v>1086</v>
      </c>
      <c r="D432" s="131"/>
      <c r="E432" s="14" t="s">
        <v>1170</v>
      </c>
      <c r="F432" s="24">
        <v>2</v>
      </c>
      <c r="G432" s="46">
        <v>0</v>
      </c>
      <c r="H432" s="5"/>
    </row>
    <row r="433" spans="1:8" x14ac:dyDescent="0.25">
      <c r="A433" s="4" t="s">
        <v>319</v>
      </c>
      <c r="B433" s="14" t="s">
        <v>665</v>
      </c>
      <c r="C433" s="130" t="s">
        <v>1087</v>
      </c>
      <c r="D433" s="131"/>
      <c r="E433" s="14" t="s">
        <v>1170</v>
      </c>
      <c r="F433" s="24">
        <v>2</v>
      </c>
      <c r="G433" s="46">
        <v>0</v>
      </c>
      <c r="H433" s="5"/>
    </row>
    <row r="434" spans="1:8" x14ac:dyDescent="0.25">
      <c r="A434" s="4" t="s">
        <v>320</v>
      </c>
      <c r="B434" s="14" t="s">
        <v>666</v>
      </c>
      <c r="C434" s="130" t="s">
        <v>1088</v>
      </c>
      <c r="D434" s="131"/>
      <c r="E434" s="14" t="s">
        <v>1170</v>
      </c>
      <c r="F434" s="24">
        <v>2</v>
      </c>
      <c r="G434" s="46">
        <v>0</v>
      </c>
      <c r="H434" s="5"/>
    </row>
    <row r="435" spans="1:8" x14ac:dyDescent="0.25">
      <c r="A435" s="64"/>
      <c r="B435" s="15" t="s">
        <v>667</v>
      </c>
      <c r="C435" s="132" t="s">
        <v>1089</v>
      </c>
      <c r="D435" s="133"/>
      <c r="E435" s="15"/>
      <c r="F435" s="43"/>
      <c r="G435" s="72"/>
      <c r="H435" s="5"/>
    </row>
    <row r="436" spans="1:8" x14ac:dyDescent="0.25">
      <c r="A436" s="4" t="s">
        <v>321</v>
      </c>
      <c r="B436" s="14" t="s">
        <v>668</v>
      </c>
      <c r="C436" s="130" t="s">
        <v>1090</v>
      </c>
      <c r="D436" s="131"/>
      <c r="E436" s="14" t="s">
        <v>1165</v>
      </c>
      <c r="F436" s="24">
        <v>14</v>
      </c>
      <c r="G436" s="46">
        <v>0</v>
      </c>
      <c r="H436" s="5"/>
    </row>
    <row r="437" spans="1:8" x14ac:dyDescent="0.25">
      <c r="A437" s="4" t="s">
        <v>322</v>
      </c>
      <c r="B437" s="14" t="s">
        <v>669</v>
      </c>
      <c r="C437" s="130" t="s">
        <v>1091</v>
      </c>
      <c r="D437" s="131"/>
      <c r="E437" s="14" t="s">
        <v>1167</v>
      </c>
      <c r="F437" s="24">
        <v>0.33</v>
      </c>
      <c r="G437" s="46">
        <v>0</v>
      </c>
      <c r="H437" s="5"/>
    </row>
    <row r="438" spans="1:8" ht="12.15" customHeight="1" x14ac:dyDescent="0.25">
      <c r="A438" s="4"/>
      <c r="B438" s="14"/>
      <c r="C438" s="65" t="s">
        <v>750</v>
      </c>
      <c r="D438" s="150"/>
      <c r="E438" s="150"/>
      <c r="F438" s="67">
        <v>0.33</v>
      </c>
      <c r="G438" s="71"/>
      <c r="H438" s="5"/>
    </row>
    <row r="439" spans="1:8" x14ac:dyDescent="0.25">
      <c r="A439" s="4" t="s">
        <v>323</v>
      </c>
      <c r="B439" s="14" t="s">
        <v>670</v>
      </c>
      <c r="C439" s="130" t="s">
        <v>1092</v>
      </c>
      <c r="D439" s="131"/>
      <c r="E439" s="14" t="s">
        <v>1169</v>
      </c>
      <c r="F439" s="24">
        <v>6.72</v>
      </c>
      <c r="G439" s="46">
        <v>0</v>
      </c>
      <c r="H439" s="5"/>
    </row>
    <row r="440" spans="1:8" ht="12.15" customHeight="1" x14ac:dyDescent="0.25">
      <c r="A440" s="4"/>
      <c r="B440" s="14"/>
      <c r="C440" s="65" t="s">
        <v>1093</v>
      </c>
      <c r="D440" s="150"/>
      <c r="E440" s="150"/>
      <c r="F440" s="67">
        <v>6.72</v>
      </c>
      <c r="G440" s="71"/>
      <c r="H440" s="5"/>
    </row>
    <row r="441" spans="1:8" x14ac:dyDescent="0.25">
      <c r="A441" s="4" t="s">
        <v>324</v>
      </c>
      <c r="B441" s="14" t="s">
        <v>671</v>
      </c>
      <c r="C441" s="130" t="s">
        <v>1094</v>
      </c>
      <c r="D441" s="131"/>
      <c r="E441" s="14" t="s">
        <v>1169</v>
      </c>
      <c r="F441" s="24">
        <v>9.9</v>
      </c>
      <c r="G441" s="46">
        <v>0</v>
      </c>
      <c r="H441" s="5"/>
    </row>
    <row r="442" spans="1:8" ht="12.15" customHeight="1" x14ac:dyDescent="0.25">
      <c r="A442" s="4"/>
      <c r="B442" s="14"/>
      <c r="C442" s="65" t="s">
        <v>748</v>
      </c>
      <c r="D442" s="150"/>
      <c r="E442" s="150"/>
      <c r="F442" s="67">
        <v>9.9</v>
      </c>
      <c r="G442" s="71"/>
      <c r="H442" s="5"/>
    </row>
    <row r="443" spans="1:8" x14ac:dyDescent="0.25">
      <c r="A443" s="4" t="s">
        <v>325</v>
      </c>
      <c r="B443" s="14" t="s">
        <v>672</v>
      </c>
      <c r="C443" s="130" t="s">
        <v>1095</v>
      </c>
      <c r="D443" s="131"/>
      <c r="E443" s="14" t="s">
        <v>1169</v>
      </c>
      <c r="F443" s="24">
        <v>0.78</v>
      </c>
      <c r="G443" s="46">
        <v>0</v>
      </c>
      <c r="H443" s="5"/>
    </row>
    <row r="444" spans="1:8" ht="12.15" customHeight="1" x14ac:dyDescent="0.25">
      <c r="A444" s="4"/>
      <c r="B444" s="14"/>
      <c r="C444" s="65" t="s">
        <v>746</v>
      </c>
      <c r="D444" s="150"/>
      <c r="E444" s="150"/>
      <c r="F444" s="67">
        <v>0.78</v>
      </c>
      <c r="G444" s="71"/>
      <c r="H444" s="5"/>
    </row>
    <row r="445" spans="1:8" x14ac:dyDescent="0.25">
      <c r="A445" s="4" t="s">
        <v>326</v>
      </c>
      <c r="B445" s="14" t="s">
        <v>673</v>
      </c>
      <c r="C445" s="130" t="s">
        <v>1096</v>
      </c>
      <c r="D445" s="131"/>
      <c r="E445" s="14" t="s">
        <v>1165</v>
      </c>
      <c r="F445" s="24">
        <v>1</v>
      </c>
      <c r="G445" s="46">
        <v>0</v>
      </c>
      <c r="H445" s="5"/>
    </row>
    <row r="446" spans="1:8" x14ac:dyDescent="0.25">
      <c r="A446" s="4" t="s">
        <v>327</v>
      </c>
      <c r="B446" s="14" t="s">
        <v>674</v>
      </c>
      <c r="C446" s="130" t="s">
        <v>1097</v>
      </c>
      <c r="D446" s="131"/>
      <c r="E446" s="14" t="s">
        <v>1170</v>
      </c>
      <c r="F446" s="24">
        <v>21</v>
      </c>
      <c r="G446" s="46">
        <v>0</v>
      </c>
      <c r="H446" s="5"/>
    </row>
    <row r="447" spans="1:8" ht="12.15" customHeight="1" x14ac:dyDescent="0.25">
      <c r="A447" s="4"/>
      <c r="B447" s="14"/>
      <c r="C447" s="65" t="s">
        <v>27</v>
      </c>
      <c r="D447" s="150" t="s">
        <v>1158</v>
      </c>
      <c r="E447" s="150"/>
      <c r="F447" s="67">
        <v>21</v>
      </c>
      <c r="G447" s="71"/>
      <c r="H447" s="5"/>
    </row>
    <row r="448" spans="1:8" x14ac:dyDescent="0.25">
      <c r="A448" s="4" t="s">
        <v>328</v>
      </c>
      <c r="B448" s="14" t="s">
        <v>675</v>
      </c>
      <c r="C448" s="130" t="s">
        <v>1098</v>
      </c>
      <c r="D448" s="131"/>
      <c r="E448" s="14" t="s">
        <v>1165</v>
      </c>
      <c r="F448" s="24">
        <v>30</v>
      </c>
      <c r="G448" s="46">
        <v>0</v>
      </c>
      <c r="H448" s="5"/>
    </row>
    <row r="449" spans="1:8" x14ac:dyDescent="0.25">
      <c r="A449" s="4" t="s">
        <v>329</v>
      </c>
      <c r="B449" s="14" t="s">
        <v>676</v>
      </c>
      <c r="C449" s="130" t="s">
        <v>1099</v>
      </c>
      <c r="D449" s="131"/>
      <c r="E449" s="14" t="s">
        <v>1170</v>
      </c>
      <c r="F449" s="24">
        <v>1</v>
      </c>
      <c r="G449" s="46">
        <v>0</v>
      </c>
      <c r="H449" s="5"/>
    </row>
    <row r="450" spans="1:8" x14ac:dyDescent="0.25">
      <c r="A450" s="7" t="s">
        <v>330</v>
      </c>
      <c r="B450" s="16" t="s">
        <v>677</v>
      </c>
      <c r="C450" s="134" t="s">
        <v>1100</v>
      </c>
      <c r="D450" s="135"/>
      <c r="E450" s="16" t="s">
        <v>1170</v>
      </c>
      <c r="F450" s="26">
        <v>1</v>
      </c>
      <c r="G450" s="48">
        <v>0</v>
      </c>
      <c r="H450" s="5"/>
    </row>
    <row r="451" spans="1:8" x14ac:dyDescent="0.25">
      <c r="A451" s="7" t="s">
        <v>331</v>
      </c>
      <c r="B451" s="16" t="s">
        <v>678</v>
      </c>
      <c r="C451" s="134" t="s">
        <v>1101</v>
      </c>
      <c r="D451" s="135"/>
      <c r="E451" s="16" t="s">
        <v>1170</v>
      </c>
      <c r="F451" s="26">
        <v>1</v>
      </c>
      <c r="G451" s="48">
        <v>0</v>
      </c>
      <c r="H451" s="5"/>
    </row>
    <row r="452" spans="1:8" x14ac:dyDescent="0.25">
      <c r="A452" s="4" t="s">
        <v>332</v>
      </c>
      <c r="B452" s="14" t="s">
        <v>679</v>
      </c>
      <c r="C452" s="130" t="s">
        <v>1102</v>
      </c>
      <c r="D452" s="131"/>
      <c r="E452" s="14" t="s">
        <v>1169</v>
      </c>
      <c r="F452" s="24">
        <v>50</v>
      </c>
      <c r="G452" s="46">
        <v>0</v>
      </c>
      <c r="H452" s="5"/>
    </row>
    <row r="453" spans="1:8" x14ac:dyDescent="0.25">
      <c r="A453" s="64"/>
      <c r="B453" s="15" t="s">
        <v>680</v>
      </c>
      <c r="C453" s="132" t="s">
        <v>1103</v>
      </c>
      <c r="D453" s="133"/>
      <c r="E453" s="15"/>
      <c r="F453" s="43"/>
      <c r="G453" s="72"/>
      <c r="H453" s="5"/>
    </row>
    <row r="454" spans="1:8" x14ac:dyDescent="0.25">
      <c r="A454" s="4" t="s">
        <v>333</v>
      </c>
      <c r="B454" s="14" t="s">
        <v>681</v>
      </c>
      <c r="C454" s="130" t="s">
        <v>1104</v>
      </c>
      <c r="D454" s="131"/>
      <c r="E454" s="14" t="s">
        <v>1171</v>
      </c>
      <c r="F454" s="24">
        <v>1</v>
      </c>
      <c r="G454" s="46">
        <v>0</v>
      </c>
      <c r="H454" s="5"/>
    </row>
    <row r="455" spans="1:8" x14ac:dyDescent="0.25">
      <c r="A455" s="4" t="s">
        <v>334</v>
      </c>
      <c r="B455" s="14" t="s">
        <v>682</v>
      </c>
      <c r="C455" s="130" t="s">
        <v>1105</v>
      </c>
      <c r="D455" s="131"/>
      <c r="E455" s="14" t="s">
        <v>1171</v>
      </c>
      <c r="F455" s="24">
        <v>2</v>
      </c>
      <c r="G455" s="46">
        <v>0</v>
      </c>
      <c r="H455" s="5"/>
    </row>
    <row r="456" spans="1:8" x14ac:dyDescent="0.25">
      <c r="A456" s="4" t="s">
        <v>335</v>
      </c>
      <c r="B456" s="14" t="s">
        <v>683</v>
      </c>
      <c r="C456" s="130" t="s">
        <v>1106</v>
      </c>
      <c r="D456" s="131"/>
      <c r="E456" s="14" t="s">
        <v>1171</v>
      </c>
      <c r="F456" s="24">
        <v>1</v>
      </c>
      <c r="G456" s="46">
        <v>0</v>
      </c>
      <c r="H456" s="5"/>
    </row>
    <row r="457" spans="1:8" x14ac:dyDescent="0.25">
      <c r="A457" s="4" t="s">
        <v>336</v>
      </c>
      <c r="B457" s="14" t="s">
        <v>684</v>
      </c>
      <c r="C457" s="130" t="s">
        <v>1107</v>
      </c>
      <c r="D457" s="131"/>
      <c r="E457" s="14" t="s">
        <v>1171</v>
      </c>
      <c r="F457" s="24">
        <v>1</v>
      </c>
      <c r="G457" s="46">
        <v>0</v>
      </c>
      <c r="H457" s="5"/>
    </row>
    <row r="458" spans="1:8" x14ac:dyDescent="0.25">
      <c r="A458" s="4" t="s">
        <v>337</v>
      </c>
      <c r="B458" s="14" t="s">
        <v>685</v>
      </c>
      <c r="C458" s="130" t="s">
        <v>1108</v>
      </c>
      <c r="D458" s="131"/>
      <c r="E458" s="14" t="s">
        <v>1171</v>
      </c>
      <c r="F458" s="24">
        <v>1</v>
      </c>
      <c r="G458" s="46">
        <v>0</v>
      </c>
      <c r="H458" s="5"/>
    </row>
    <row r="459" spans="1:8" x14ac:dyDescent="0.25">
      <c r="A459" s="4" t="s">
        <v>338</v>
      </c>
      <c r="B459" s="14" t="s">
        <v>686</v>
      </c>
      <c r="C459" s="130" t="s">
        <v>1109</v>
      </c>
      <c r="D459" s="131"/>
      <c r="E459" s="14" t="s">
        <v>1171</v>
      </c>
      <c r="F459" s="24">
        <v>1</v>
      </c>
      <c r="G459" s="46">
        <v>0</v>
      </c>
      <c r="H459" s="5"/>
    </row>
    <row r="460" spans="1:8" x14ac:dyDescent="0.25">
      <c r="A460" s="4" t="s">
        <v>339</v>
      </c>
      <c r="B460" s="14" t="s">
        <v>687</v>
      </c>
      <c r="C460" s="130" t="s">
        <v>1110</v>
      </c>
      <c r="D460" s="131"/>
      <c r="E460" s="14" t="s">
        <v>1171</v>
      </c>
      <c r="F460" s="24">
        <v>1</v>
      </c>
      <c r="G460" s="46">
        <v>0</v>
      </c>
      <c r="H460" s="5"/>
    </row>
    <row r="461" spans="1:8" x14ac:dyDescent="0.25">
      <c r="A461" s="64"/>
      <c r="B461" s="15" t="s">
        <v>688</v>
      </c>
      <c r="C461" s="132" t="s">
        <v>1111</v>
      </c>
      <c r="D461" s="133"/>
      <c r="E461" s="15"/>
      <c r="F461" s="43"/>
      <c r="G461" s="72"/>
      <c r="H461" s="5"/>
    </row>
    <row r="462" spans="1:8" x14ac:dyDescent="0.25">
      <c r="A462" s="4" t="s">
        <v>340</v>
      </c>
      <c r="B462" s="14" t="s">
        <v>689</v>
      </c>
      <c r="C462" s="130" t="s">
        <v>1112</v>
      </c>
      <c r="D462" s="131"/>
      <c r="E462" s="14" t="s">
        <v>1168</v>
      </c>
      <c r="F462" s="24">
        <v>6</v>
      </c>
      <c r="G462" s="46">
        <v>0</v>
      </c>
      <c r="H462" s="5"/>
    </row>
    <row r="463" spans="1:8" x14ac:dyDescent="0.25">
      <c r="A463" s="8" t="s">
        <v>341</v>
      </c>
      <c r="B463" s="17" t="s">
        <v>690</v>
      </c>
      <c r="C463" s="136" t="s">
        <v>1113</v>
      </c>
      <c r="D463" s="137"/>
      <c r="E463" s="17" t="s">
        <v>1168</v>
      </c>
      <c r="F463" s="27">
        <v>6</v>
      </c>
      <c r="G463" s="49">
        <v>0</v>
      </c>
      <c r="H463" s="5"/>
    </row>
    <row r="464" spans="1:8" x14ac:dyDescent="0.25">
      <c r="A464" s="9"/>
      <c r="B464" s="9"/>
      <c r="C464" s="9"/>
      <c r="D464" s="9"/>
      <c r="E464" s="9"/>
      <c r="F464" s="9"/>
      <c r="G464" s="9"/>
    </row>
    <row r="465" spans="1:8" ht="11.25" customHeight="1" x14ac:dyDescent="0.25">
      <c r="A465" s="10" t="s">
        <v>342</v>
      </c>
    </row>
    <row r="466" spans="1:8" x14ac:dyDescent="0.25">
      <c r="A466" s="113"/>
      <c r="B466" s="105"/>
      <c r="C466" s="105"/>
      <c r="D466" s="105"/>
      <c r="E466" s="105"/>
      <c r="F466" s="105"/>
      <c r="G466" s="105"/>
      <c r="H466" s="105"/>
    </row>
  </sheetData>
  <mergeCells count="472">
    <mergeCell ref="C460:D460"/>
    <mergeCell ref="C461:D461"/>
    <mergeCell ref="C462:D462"/>
    <mergeCell ref="C463:D463"/>
    <mergeCell ref="A466:H466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D442:E442"/>
    <mergeCell ref="C443:D443"/>
    <mergeCell ref="D444:E444"/>
    <mergeCell ref="C445:D445"/>
    <mergeCell ref="C446:D446"/>
    <mergeCell ref="D447:E447"/>
    <mergeCell ref="C436:D436"/>
    <mergeCell ref="C437:D437"/>
    <mergeCell ref="D438:E438"/>
    <mergeCell ref="C439:D439"/>
    <mergeCell ref="D440:E440"/>
    <mergeCell ref="C441:D441"/>
    <mergeCell ref="D430:E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D428:E428"/>
    <mergeCell ref="C429:D429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D408:E408"/>
    <mergeCell ref="C409:D409"/>
    <mergeCell ref="C410:D410"/>
    <mergeCell ref="D411:E411"/>
    <mergeCell ref="C400:D400"/>
    <mergeCell ref="C401:D401"/>
    <mergeCell ref="C402:D402"/>
    <mergeCell ref="C403:D403"/>
    <mergeCell ref="C404:D404"/>
    <mergeCell ref="C405:D405"/>
    <mergeCell ref="C394:D394"/>
    <mergeCell ref="C395:D395"/>
    <mergeCell ref="C396:D396"/>
    <mergeCell ref="C397:D397"/>
    <mergeCell ref="C398:D398"/>
    <mergeCell ref="D399:E399"/>
    <mergeCell ref="C388:D388"/>
    <mergeCell ref="C389:D389"/>
    <mergeCell ref="C390:D390"/>
    <mergeCell ref="C391:D391"/>
    <mergeCell ref="C392:D392"/>
    <mergeCell ref="C393:D393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D320:E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D305:E305"/>
    <mergeCell ref="C306:D306"/>
    <mergeCell ref="D307:E307"/>
    <mergeCell ref="C308:D308"/>
    <mergeCell ref="C309:D309"/>
    <mergeCell ref="C298:D298"/>
    <mergeCell ref="D299:E299"/>
    <mergeCell ref="C300:D300"/>
    <mergeCell ref="D301:E301"/>
    <mergeCell ref="C302:D302"/>
    <mergeCell ref="D303:E303"/>
    <mergeCell ref="C292:D292"/>
    <mergeCell ref="C293:D293"/>
    <mergeCell ref="C294:D294"/>
    <mergeCell ref="C295:D295"/>
    <mergeCell ref="C296:D296"/>
    <mergeCell ref="D297:E297"/>
    <mergeCell ref="C286:D286"/>
    <mergeCell ref="D287:E287"/>
    <mergeCell ref="D288:E288"/>
    <mergeCell ref="D289:E289"/>
    <mergeCell ref="D290:E290"/>
    <mergeCell ref="C291:D291"/>
    <mergeCell ref="D280:E280"/>
    <mergeCell ref="D281:E281"/>
    <mergeCell ref="C282:D282"/>
    <mergeCell ref="D283:E283"/>
    <mergeCell ref="C284:D284"/>
    <mergeCell ref="D285:E285"/>
    <mergeCell ref="D274:E274"/>
    <mergeCell ref="C275:D275"/>
    <mergeCell ref="D276:E276"/>
    <mergeCell ref="C277:D277"/>
    <mergeCell ref="C278:D278"/>
    <mergeCell ref="D279:E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D264:E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D210:E210"/>
    <mergeCell ref="C211:D211"/>
    <mergeCell ref="C212:D212"/>
    <mergeCell ref="C213:D213"/>
    <mergeCell ref="C202:D202"/>
    <mergeCell ref="C203:D203"/>
    <mergeCell ref="C204:D204"/>
    <mergeCell ref="D205:E205"/>
    <mergeCell ref="C206:D206"/>
    <mergeCell ref="C207:D207"/>
    <mergeCell ref="C196:D196"/>
    <mergeCell ref="D197:E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D195:E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D162:E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D151:E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D89:E89"/>
    <mergeCell ref="C90:D90"/>
    <mergeCell ref="C91:D91"/>
    <mergeCell ref="C92:D92"/>
    <mergeCell ref="C93:D93"/>
    <mergeCell ref="C82:D82"/>
    <mergeCell ref="D83:E83"/>
    <mergeCell ref="C84:D84"/>
    <mergeCell ref="C85:D85"/>
    <mergeCell ref="C86:D86"/>
    <mergeCell ref="C87:D87"/>
    <mergeCell ref="D76:E76"/>
    <mergeCell ref="C77:D77"/>
    <mergeCell ref="C78:D78"/>
    <mergeCell ref="D79:E79"/>
    <mergeCell ref="C80:D80"/>
    <mergeCell ref="D81:E81"/>
    <mergeCell ref="D70:E70"/>
    <mergeCell ref="C71:D71"/>
    <mergeCell ref="D72:E72"/>
    <mergeCell ref="C73:D73"/>
    <mergeCell ref="D74:E74"/>
    <mergeCell ref="C75:D75"/>
    <mergeCell ref="C64:D64"/>
    <mergeCell ref="C65:D65"/>
    <mergeCell ref="D66:E66"/>
    <mergeCell ref="C67:D67"/>
    <mergeCell ref="D68:E68"/>
    <mergeCell ref="C69:D69"/>
    <mergeCell ref="C58:D58"/>
    <mergeCell ref="D59:E59"/>
    <mergeCell ref="C60:D60"/>
    <mergeCell ref="D61:E61"/>
    <mergeCell ref="C62:D62"/>
    <mergeCell ref="C63:D63"/>
    <mergeCell ref="D52:E52"/>
    <mergeCell ref="C53:D53"/>
    <mergeCell ref="D54:E54"/>
    <mergeCell ref="D55:E55"/>
    <mergeCell ref="C56:D56"/>
    <mergeCell ref="D57:E57"/>
    <mergeCell ref="C46:D46"/>
    <mergeCell ref="C47:D47"/>
    <mergeCell ref="C48:D48"/>
    <mergeCell ref="C49:D49"/>
    <mergeCell ref="C50:D50"/>
    <mergeCell ref="C51:D51"/>
    <mergeCell ref="D40:E40"/>
    <mergeCell ref="C41:D41"/>
    <mergeCell ref="D42:E42"/>
    <mergeCell ref="C43:D43"/>
    <mergeCell ref="C44:D44"/>
    <mergeCell ref="C45:D45"/>
    <mergeCell ref="D34:E34"/>
    <mergeCell ref="C35:D35"/>
    <mergeCell ref="D36:E36"/>
    <mergeCell ref="C37:D37"/>
    <mergeCell ref="D38:E38"/>
    <mergeCell ref="C39:D39"/>
    <mergeCell ref="D28:E28"/>
    <mergeCell ref="C29:D29"/>
    <mergeCell ref="C30:D30"/>
    <mergeCell ref="C31:D31"/>
    <mergeCell ref="C32:D32"/>
    <mergeCell ref="D33:E33"/>
    <mergeCell ref="D22:E22"/>
    <mergeCell ref="C23:D23"/>
    <mergeCell ref="C24:D24"/>
    <mergeCell ref="D25:E25"/>
    <mergeCell ref="C26:D26"/>
    <mergeCell ref="C27:D27"/>
    <mergeCell ref="C16:D16"/>
    <mergeCell ref="C17:D17"/>
    <mergeCell ref="C18:D18"/>
    <mergeCell ref="C19:D19"/>
    <mergeCell ref="D20:E20"/>
    <mergeCell ref="C21:D21"/>
    <mergeCell ref="C10:D10"/>
    <mergeCell ref="C11:D11"/>
    <mergeCell ref="C12:D12"/>
    <mergeCell ref="D13:E13"/>
    <mergeCell ref="C14:D14"/>
    <mergeCell ref="C15:D15"/>
    <mergeCell ref="A6:A7"/>
    <mergeCell ref="B6:C7"/>
    <mergeCell ref="D6:D7"/>
    <mergeCell ref="E6:G7"/>
    <mergeCell ref="A8:A9"/>
    <mergeCell ref="B8:C9"/>
    <mergeCell ref="D8:D9"/>
    <mergeCell ref="E8:G9"/>
    <mergeCell ref="A1:G1"/>
    <mergeCell ref="A2:A3"/>
    <mergeCell ref="B2:C3"/>
    <mergeCell ref="D2:D3"/>
    <mergeCell ref="E2:G3"/>
    <mergeCell ref="A4:A5"/>
    <mergeCell ref="B4:C5"/>
    <mergeCell ref="D4:D5"/>
    <mergeCell ref="E4:G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C1" sqref="C1:I1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3.05" customHeight="1" x14ac:dyDescent="0.25">
      <c r="A1" s="99"/>
      <c r="B1" s="74"/>
      <c r="C1" s="151" t="s">
        <v>1293</v>
      </c>
      <c r="D1" s="101"/>
      <c r="E1" s="101"/>
      <c r="F1" s="101"/>
      <c r="G1" s="101"/>
      <c r="H1" s="101"/>
      <c r="I1" s="101"/>
    </row>
    <row r="2" spans="1:10" x14ac:dyDescent="0.25">
      <c r="A2" s="102" t="s">
        <v>1</v>
      </c>
      <c r="B2" s="103"/>
      <c r="C2" s="106" t="str">
        <f>'Stavební rozpočet'!C2</f>
        <v>Plynová kotelna pro vytápění ZŠ Doubrava</v>
      </c>
      <c r="D2" s="139"/>
      <c r="E2" s="109" t="s">
        <v>1121</v>
      </c>
      <c r="F2" s="109" t="str">
        <f>'Stavební rozpočet'!G2</f>
        <v>Obec Doubrava,Doubrava č.p. 599, 735 33 Doubrava_x000D_</v>
      </c>
      <c r="G2" s="103"/>
      <c r="H2" s="109" t="s">
        <v>1318</v>
      </c>
      <c r="I2" s="152"/>
      <c r="J2" s="5"/>
    </row>
    <row r="3" spans="1:10" x14ac:dyDescent="0.25">
      <c r="A3" s="104"/>
      <c r="B3" s="105"/>
      <c r="C3" s="107"/>
      <c r="D3" s="107"/>
      <c r="E3" s="105"/>
      <c r="F3" s="105"/>
      <c r="G3" s="105"/>
      <c r="H3" s="105"/>
      <c r="I3" s="111"/>
      <c r="J3" s="5"/>
    </row>
    <row r="4" spans="1:10" x14ac:dyDescent="0.25">
      <c r="A4" s="112" t="s">
        <v>2</v>
      </c>
      <c r="B4" s="105"/>
      <c r="C4" s="113" t="str">
        <f>'Stavební rozpočet'!C4</f>
        <v>Občanská vybavenost</v>
      </c>
      <c r="D4" s="105"/>
      <c r="E4" s="113" t="s">
        <v>1122</v>
      </c>
      <c r="F4" s="113" t="str">
        <f>'Stavební rozpočet'!G4</f>
        <v>Ing. Stanislav Wilczek</v>
      </c>
      <c r="G4" s="105"/>
      <c r="H4" s="113" t="s">
        <v>1318</v>
      </c>
      <c r="I4" s="153"/>
      <c r="J4" s="5"/>
    </row>
    <row r="5" spans="1:10" x14ac:dyDescent="0.25">
      <c r="A5" s="104"/>
      <c r="B5" s="105"/>
      <c r="C5" s="105"/>
      <c r="D5" s="105"/>
      <c r="E5" s="105"/>
      <c r="F5" s="105"/>
      <c r="G5" s="105"/>
      <c r="H5" s="105"/>
      <c r="I5" s="111"/>
      <c r="J5" s="5"/>
    </row>
    <row r="6" spans="1:10" x14ac:dyDescent="0.25">
      <c r="A6" s="112" t="s">
        <v>3</v>
      </c>
      <c r="B6" s="105"/>
      <c r="C6" s="113" t="str">
        <f>'Stavební rozpočet'!C6</f>
        <v>Obec Doubrava, č.p. 546,  735 33 Doubrava</v>
      </c>
      <c r="D6" s="105"/>
      <c r="E6" s="113" t="s">
        <v>1123</v>
      </c>
      <c r="F6" s="113" t="str">
        <f>'Stavební rozpočet'!G6</f>
        <v> </v>
      </c>
      <c r="G6" s="105"/>
      <c r="H6" s="113" t="s">
        <v>1318</v>
      </c>
      <c r="I6" s="153"/>
      <c r="J6" s="5"/>
    </row>
    <row r="7" spans="1:10" x14ac:dyDescent="0.25">
      <c r="A7" s="104"/>
      <c r="B7" s="105"/>
      <c r="C7" s="105"/>
      <c r="D7" s="105"/>
      <c r="E7" s="105"/>
      <c r="F7" s="105"/>
      <c r="G7" s="105"/>
      <c r="H7" s="105"/>
      <c r="I7" s="111"/>
      <c r="J7" s="5"/>
    </row>
    <row r="8" spans="1:10" x14ac:dyDescent="0.25">
      <c r="A8" s="112" t="s">
        <v>1115</v>
      </c>
      <c r="B8" s="105"/>
      <c r="C8" s="113" t="str">
        <f>'Stavební rozpočet'!E4</f>
        <v xml:space="preserve"> </v>
      </c>
      <c r="D8" s="105"/>
      <c r="E8" s="113" t="s">
        <v>1116</v>
      </c>
      <c r="F8" s="113"/>
      <c r="G8" s="105"/>
      <c r="H8" s="114" t="s">
        <v>1319</v>
      </c>
      <c r="I8" s="153" t="s">
        <v>341</v>
      </c>
      <c r="J8" s="5"/>
    </row>
    <row r="9" spans="1:10" x14ac:dyDescent="0.25">
      <c r="A9" s="104"/>
      <c r="B9" s="105"/>
      <c r="C9" s="105"/>
      <c r="D9" s="105"/>
      <c r="E9" s="105"/>
      <c r="F9" s="105"/>
      <c r="G9" s="105"/>
      <c r="H9" s="105"/>
      <c r="I9" s="111"/>
      <c r="J9" s="5"/>
    </row>
    <row r="10" spans="1:10" x14ac:dyDescent="0.25">
      <c r="A10" s="112" t="s">
        <v>4</v>
      </c>
      <c r="B10" s="105"/>
      <c r="C10" s="113">
        <f>'Stavební rozpočet'!C8</f>
        <v>8013212</v>
      </c>
      <c r="D10" s="105"/>
      <c r="E10" s="113" t="s">
        <v>1124</v>
      </c>
      <c r="F10" s="113" t="str">
        <f>'Stavební rozpočet'!G8</f>
        <v>Ing. Stanislav Wilczek</v>
      </c>
      <c r="G10" s="105"/>
      <c r="H10" s="114" t="s">
        <v>1320</v>
      </c>
      <c r="I10" s="141" t="str">
        <f>'Stavební rozpočet'!E8</f>
        <v>18.12.2021</v>
      </c>
      <c r="J10" s="5"/>
    </row>
    <row r="11" spans="1:10" x14ac:dyDescent="0.25">
      <c r="A11" s="154"/>
      <c r="B11" s="148"/>
      <c r="C11" s="148"/>
      <c r="D11" s="148"/>
      <c r="E11" s="148"/>
      <c r="F11" s="148"/>
      <c r="G11" s="148"/>
      <c r="H11" s="148"/>
      <c r="I11" s="155"/>
      <c r="J11" s="5"/>
    </row>
    <row r="12" spans="1:10" ht="23.4" customHeight="1" x14ac:dyDescent="0.25">
      <c r="A12" s="156" t="s">
        <v>1278</v>
      </c>
      <c r="B12" s="157"/>
      <c r="C12" s="157"/>
      <c r="D12" s="157"/>
      <c r="E12" s="157"/>
      <c r="F12" s="157"/>
      <c r="G12" s="157"/>
      <c r="H12" s="157"/>
      <c r="I12" s="157"/>
    </row>
    <row r="13" spans="1:10" ht="26.4" customHeight="1" x14ac:dyDescent="0.25">
      <c r="A13" s="75" t="s">
        <v>1279</v>
      </c>
      <c r="B13" s="158" t="s">
        <v>1291</v>
      </c>
      <c r="C13" s="159"/>
      <c r="D13" s="75" t="s">
        <v>1294</v>
      </c>
      <c r="E13" s="158" t="s">
        <v>1303</v>
      </c>
      <c r="F13" s="159"/>
      <c r="G13" s="75" t="s">
        <v>1304</v>
      </c>
      <c r="H13" s="158" t="s">
        <v>1321</v>
      </c>
      <c r="I13" s="159"/>
      <c r="J13" s="5"/>
    </row>
    <row r="14" spans="1:10" ht="15.15" customHeight="1" x14ac:dyDescent="0.25">
      <c r="A14" s="76" t="s">
        <v>1280</v>
      </c>
      <c r="B14" s="80" t="s">
        <v>1292</v>
      </c>
      <c r="C14" s="84">
        <f>SUM('Stavební rozpočet'!AB12:AB464)</f>
        <v>0</v>
      </c>
      <c r="D14" s="160" t="s">
        <v>1295</v>
      </c>
      <c r="E14" s="161"/>
      <c r="F14" s="84">
        <f>VORN!I15</f>
        <v>0</v>
      </c>
      <c r="G14" s="160" t="s">
        <v>1305</v>
      </c>
      <c r="H14" s="161"/>
      <c r="I14" s="84">
        <f>VORN!I21</f>
        <v>0</v>
      </c>
      <c r="J14" s="5"/>
    </row>
    <row r="15" spans="1:10" ht="15.15" customHeight="1" x14ac:dyDescent="0.25">
      <c r="A15" s="77"/>
      <c r="B15" s="80" t="s">
        <v>1181</v>
      </c>
      <c r="C15" s="84">
        <f>SUM('Stavební rozpočet'!AC12:AC464)</f>
        <v>0</v>
      </c>
      <c r="D15" s="160" t="s">
        <v>1296</v>
      </c>
      <c r="E15" s="161"/>
      <c r="F15" s="84">
        <f>VORN!I16</f>
        <v>0</v>
      </c>
      <c r="G15" s="160" t="s">
        <v>1306</v>
      </c>
      <c r="H15" s="161"/>
      <c r="I15" s="84">
        <f>VORN!I22</f>
        <v>0</v>
      </c>
      <c r="J15" s="5"/>
    </row>
    <row r="16" spans="1:10" ht="15.15" customHeight="1" x14ac:dyDescent="0.25">
      <c r="A16" s="76" t="s">
        <v>1281</v>
      </c>
      <c r="B16" s="80" t="s">
        <v>1292</v>
      </c>
      <c r="C16" s="84">
        <f>SUM('Stavební rozpočet'!AD12:AD464)</f>
        <v>0</v>
      </c>
      <c r="D16" s="160" t="s">
        <v>1297</v>
      </c>
      <c r="E16" s="161"/>
      <c r="F16" s="84">
        <f>VORN!I17</f>
        <v>0</v>
      </c>
      <c r="G16" s="160" t="s">
        <v>1307</v>
      </c>
      <c r="H16" s="161"/>
      <c r="I16" s="84">
        <f>VORN!I23</f>
        <v>0</v>
      </c>
      <c r="J16" s="5"/>
    </row>
    <row r="17" spans="1:10" ht="15.15" customHeight="1" x14ac:dyDescent="0.25">
      <c r="A17" s="77"/>
      <c r="B17" s="80" t="s">
        <v>1181</v>
      </c>
      <c r="C17" s="84">
        <f>SUM('Stavební rozpočet'!AE12:AE464)</f>
        <v>0</v>
      </c>
      <c r="D17" s="160"/>
      <c r="E17" s="161"/>
      <c r="F17" s="85"/>
      <c r="G17" s="160" t="s">
        <v>1308</v>
      </c>
      <c r="H17" s="161"/>
      <c r="I17" s="84">
        <f>VORN!I24</f>
        <v>0</v>
      </c>
      <c r="J17" s="5"/>
    </row>
    <row r="18" spans="1:10" ht="15.15" customHeight="1" x14ac:dyDescent="0.25">
      <c r="A18" s="76" t="s">
        <v>1282</v>
      </c>
      <c r="B18" s="80" t="s">
        <v>1292</v>
      </c>
      <c r="C18" s="84">
        <f>SUM('Stavební rozpočet'!AF12:AF464)</f>
        <v>0</v>
      </c>
      <c r="D18" s="160"/>
      <c r="E18" s="161"/>
      <c r="F18" s="85"/>
      <c r="G18" s="160" t="s">
        <v>1309</v>
      </c>
      <c r="H18" s="161"/>
      <c r="I18" s="84">
        <f>VORN!I25</f>
        <v>0</v>
      </c>
      <c r="J18" s="5"/>
    </row>
    <row r="19" spans="1:10" ht="15.15" customHeight="1" x14ac:dyDescent="0.25">
      <c r="A19" s="77"/>
      <c r="B19" s="80" t="s">
        <v>1181</v>
      </c>
      <c r="C19" s="84">
        <f>SUM('Stavební rozpočet'!AG12:AG464)</f>
        <v>0</v>
      </c>
      <c r="D19" s="160"/>
      <c r="E19" s="161"/>
      <c r="F19" s="85"/>
      <c r="G19" s="160" t="s">
        <v>1310</v>
      </c>
      <c r="H19" s="161"/>
      <c r="I19" s="84">
        <f>VORN!I26</f>
        <v>0</v>
      </c>
      <c r="J19" s="5"/>
    </row>
    <row r="20" spans="1:10" ht="15.15" customHeight="1" x14ac:dyDescent="0.25">
      <c r="A20" s="162" t="s">
        <v>1283</v>
      </c>
      <c r="B20" s="163"/>
      <c r="C20" s="84">
        <f>SUM('Stavební rozpočet'!AH12:AH464)</f>
        <v>0</v>
      </c>
      <c r="D20" s="160"/>
      <c r="E20" s="161"/>
      <c r="F20" s="85"/>
      <c r="G20" s="160"/>
      <c r="H20" s="161"/>
      <c r="I20" s="85"/>
      <c r="J20" s="5"/>
    </row>
    <row r="21" spans="1:10" ht="15.15" customHeight="1" x14ac:dyDescent="0.25">
      <c r="A21" s="162" t="s">
        <v>1284</v>
      </c>
      <c r="B21" s="163"/>
      <c r="C21" s="84">
        <f>SUM('Stavební rozpočet'!Z12:Z464)</f>
        <v>0</v>
      </c>
      <c r="D21" s="160"/>
      <c r="E21" s="161"/>
      <c r="F21" s="85"/>
      <c r="G21" s="160"/>
      <c r="H21" s="161"/>
      <c r="I21" s="85"/>
      <c r="J21" s="5"/>
    </row>
    <row r="22" spans="1:10" ht="16.649999999999999" customHeight="1" x14ac:dyDescent="0.25">
      <c r="A22" s="162" t="s">
        <v>1285</v>
      </c>
      <c r="B22" s="163"/>
      <c r="C22" s="84">
        <f>ROUND(SUM(C14:C21),0)</f>
        <v>0</v>
      </c>
      <c r="D22" s="162" t="s">
        <v>1298</v>
      </c>
      <c r="E22" s="163"/>
      <c r="F22" s="84">
        <f>SUM(F14:F21)</f>
        <v>0</v>
      </c>
      <c r="G22" s="162" t="s">
        <v>1311</v>
      </c>
      <c r="H22" s="163"/>
      <c r="I22" s="84">
        <f>SUM(I14:I21)</f>
        <v>0</v>
      </c>
      <c r="J22" s="5"/>
    </row>
    <row r="23" spans="1:10" ht="15.15" customHeight="1" x14ac:dyDescent="0.25">
      <c r="A23" s="9"/>
      <c r="B23" s="9"/>
      <c r="C23" s="82"/>
      <c r="D23" s="162" t="s">
        <v>1299</v>
      </c>
      <c r="E23" s="163"/>
      <c r="F23" s="86">
        <v>0</v>
      </c>
      <c r="G23" s="162" t="s">
        <v>1312</v>
      </c>
      <c r="H23" s="163"/>
      <c r="I23" s="84">
        <v>0</v>
      </c>
      <c r="J23" s="5"/>
    </row>
    <row r="24" spans="1:10" ht="15.15" customHeight="1" x14ac:dyDescent="0.25">
      <c r="D24" s="9"/>
      <c r="E24" s="9"/>
      <c r="F24" s="87"/>
      <c r="G24" s="162" t="s">
        <v>1313</v>
      </c>
      <c r="H24" s="163"/>
      <c r="I24" s="84">
        <f>vorn_sum</f>
        <v>0</v>
      </c>
      <c r="J24" s="5"/>
    </row>
    <row r="25" spans="1:10" ht="15.15" customHeight="1" x14ac:dyDescent="0.25">
      <c r="F25" s="36"/>
      <c r="G25" s="162" t="s">
        <v>1314</v>
      </c>
      <c r="H25" s="163"/>
      <c r="I25" s="84">
        <v>0</v>
      </c>
      <c r="J25" s="5"/>
    </row>
    <row r="26" spans="1:10" x14ac:dyDescent="0.25">
      <c r="A26" s="74"/>
      <c r="B26" s="74"/>
      <c r="C26" s="74"/>
      <c r="G26" s="9"/>
      <c r="H26" s="9"/>
      <c r="I26" s="9"/>
    </row>
    <row r="27" spans="1:10" ht="15.15" customHeight="1" x14ac:dyDescent="0.25">
      <c r="A27" s="164" t="s">
        <v>1286</v>
      </c>
      <c r="B27" s="165"/>
      <c r="C27" s="88">
        <f>ROUND(SUM('Stavební rozpočet'!AJ12:AJ464),0)</f>
        <v>0</v>
      </c>
      <c r="D27" s="83"/>
      <c r="E27" s="74"/>
      <c r="F27" s="74"/>
      <c r="G27" s="74"/>
      <c r="H27" s="74"/>
      <c r="I27" s="74"/>
    </row>
    <row r="28" spans="1:10" ht="15.15" customHeight="1" x14ac:dyDescent="0.25">
      <c r="A28" s="164" t="s">
        <v>1287</v>
      </c>
      <c r="B28" s="165"/>
      <c r="C28" s="88">
        <f>ROUND(SUM('Stavební rozpočet'!AK12:AK464),0)</f>
        <v>0</v>
      </c>
      <c r="D28" s="164" t="s">
        <v>1300</v>
      </c>
      <c r="E28" s="165"/>
      <c r="F28" s="88">
        <f>ROUND(C28*(15/100),2)</f>
        <v>0</v>
      </c>
      <c r="G28" s="164" t="s">
        <v>1315</v>
      </c>
      <c r="H28" s="165"/>
      <c r="I28" s="88">
        <f>ROUND(SUM(C27:C29),0)</f>
        <v>0</v>
      </c>
      <c r="J28" s="5"/>
    </row>
    <row r="29" spans="1:10" ht="15.15" customHeight="1" x14ac:dyDescent="0.25">
      <c r="A29" s="164" t="s">
        <v>1288</v>
      </c>
      <c r="B29" s="165"/>
      <c r="C29" s="88">
        <f>ROUND(SUM('Stavební rozpočet'!AL12:AL464)+(F22+I22+F23+I23+I24+I25),0)</f>
        <v>0</v>
      </c>
      <c r="D29" s="164" t="s">
        <v>1301</v>
      </c>
      <c r="E29" s="165"/>
      <c r="F29" s="88">
        <f>ROUND(C29*(21/100),2)</f>
        <v>0</v>
      </c>
      <c r="G29" s="164" t="s">
        <v>1316</v>
      </c>
      <c r="H29" s="165"/>
      <c r="I29" s="88">
        <f>ROUND(SUM(F28:F29)+I28,0)</f>
        <v>0</v>
      </c>
      <c r="J29" s="5"/>
    </row>
    <row r="30" spans="1:10" x14ac:dyDescent="0.25">
      <c r="A30" s="78"/>
      <c r="B30" s="78"/>
      <c r="C30" s="78"/>
      <c r="D30" s="78"/>
      <c r="E30" s="78"/>
      <c r="F30" s="78"/>
      <c r="G30" s="78"/>
      <c r="H30" s="78"/>
      <c r="I30" s="78"/>
    </row>
    <row r="31" spans="1:10" ht="14.4" customHeight="1" x14ac:dyDescent="0.25">
      <c r="A31" s="166" t="s">
        <v>1289</v>
      </c>
      <c r="B31" s="167"/>
      <c r="C31" s="168"/>
      <c r="D31" s="166" t="s">
        <v>1302</v>
      </c>
      <c r="E31" s="167"/>
      <c r="F31" s="168"/>
      <c r="G31" s="166" t="s">
        <v>1317</v>
      </c>
      <c r="H31" s="167"/>
      <c r="I31" s="168"/>
      <c r="J31" s="55"/>
    </row>
    <row r="32" spans="1:10" ht="14.4" customHeight="1" x14ac:dyDescent="0.25">
      <c r="A32" s="169"/>
      <c r="B32" s="170"/>
      <c r="C32" s="171"/>
      <c r="D32" s="169"/>
      <c r="E32" s="170"/>
      <c r="F32" s="171"/>
      <c r="G32" s="169"/>
      <c r="H32" s="170"/>
      <c r="I32" s="171"/>
      <c r="J32" s="55"/>
    </row>
    <row r="33" spans="1:10" ht="14.4" customHeight="1" x14ac:dyDescent="0.25">
      <c r="A33" s="169"/>
      <c r="B33" s="170"/>
      <c r="C33" s="171"/>
      <c r="D33" s="169"/>
      <c r="E33" s="170"/>
      <c r="F33" s="171"/>
      <c r="G33" s="169"/>
      <c r="H33" s="170"/>
      <c r="I33" s="171"/>
      <c r="J33" s="55"/>
    </row>
    <row r="34" spans="1:10" ht="14.4" customHeight="1" x14ac:dyDescent="0.25">
      <c r="A34" s="169"/>
      <c r="B34" s="170"/>
      <c r="C34" s="171"/>
      <c r="D34" s="169"/>
      <c r="E34" s="170"/>
      <c r="F34" s="171"/>
      <c r="G34" s="169"/>
      <c r="H34" s="170"/>
      <c r="I34" s="171"/>
      <c r="J34" s="55"/>
    </row>
    <row r="35" spans="1:10" ht="14.4" customHeight="1" x14ac:dyDescent="0.25">
      <c r="A35" s="172" t="s">
        <v>1290</v>
      </c>
      <c r="B35" s="173"/>
      <c r="C35" s="174"/>
      <c r="D35" s="172" t="s">
        <v>1290</v>
      </c>
      <c r="E35" s="173"/>
      <c r="F35" s="174"/>
      <c r="G35" s="172" t="s">
        <v>1290</v>
      </c>
      <c r="H35" s="173"/>
      <c r="I35" s="174"/>
      <c r="J35" s="55"/>
    </row>
    <row r="36" spans="1:10" ht="11.25" customHeight="1" x14ac:dyDescent="0.25">
      <c r="A36" s="79" t="s">
        <v>342</v>
      </c>
      <c r="B36" s="81"/>
      <c r="C36" s="81"/>
      <c r="D36" s="81"/>
      <c r="E36" s="81"/>
      <c r="F36" s="81"/>
      <c r="G36" s="81"/>
      <c r="H36" s="81"/>
      <c r="I36" s="81"/>
    </row>
    <row r="37" spans="1:10" x14ac:dyDescent="0.25">
      <c r="A37" s="113"/>
      <c r="B37" s="105"/>
      <c r="C37" s="105"/>
      <c r="D37" s="105"/>
      <c r="E37" s="105"/>
      <c r="F37" s="105"/>
      <c r="G37" s="105"/>
      <c r="H37" s="105"/>
      <c r="I37" s="105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D23:E23"/>
    <mergeCell ref="G23:H23"/>
    <mergeCell ref="G24:H24"/>
    <mergeCell ref="G25:H25"/>
    <mergeCell ref="A27:B27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F2" sqref="F2:G3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10" ht="73.05" customHeight="1" x14ac:dyDescent="0.25">
      <c r="A1" s="99"/>
      <c r="B1" s="74"/>
      <c r="C1" s="151" t="s">
        <v>1330</v>
      </c>
      <c r="D1" s="101"/>
      <c r="E1" s="101"/>
      <c r="F1" s="101"/>
      <c r="G1" s="101"/>
      <c r="H1" s="101"/>
      <c r="I1" s="101"/>
    </row>
    <row r="2" spans="1:10" x14ac:dyDescent="0.25">
      <c r="A2" s="102" t="s">
        <v>1</v>
      </c>
      <c r="B2" s="103"/>
      <c r="C2" s="106" t="str">
        <f>'Stavební rozpočet'!C2</f>
        <v>Plynová kotelna pro vytápění ZŠ Doubrava</v>
      </c>
      <c r="D2" s="139"/>
      <c r="E2" s="109" t="s">
        <v>1121</v>
      </c>
      <c r="F2" s="109" t="str">
        <f>'Stavební rozpočet'!G2</f>
        <v>Obec Doubrava,Doubrava č.p. 599, 735 33 Doubrava_x000D_</v>
      </c>
      <c r="G2" s="103"/>
      <c r="H2" s="109" t="s">
        <v>1318</v>
      </c>
      <c r="I2" s="152"/>
      <c r="J2" s="5"/>
    </row>
    <row r="3" spans="1:10" x14ac:dyDescent="0.25">
      <c r="A3" s="104"/>
      <c r="B3" s="105"/>
      <c r="C3" s="107"/>
      <c r="D3" s="107"/>
      <c r="E3" s="105"/>
      <c r="F3" s="105"/>
      <c r="G3" s="105"/>
      <c r="H3" s="105"/>
      <c r="I3" s="111"/>
      <c r="J3" s="5"/>
    </row>
    <row r="4" spans="1:10" x14ac:dyDescent="0.25">
      <c r="A4" s="112" t="s">
        <v>2</v>
      </c>
      <c r="B4" s="105"/>
      <c r="C4" s="113" t="str">
        <f>'Stavební rozpočet'!C4</f>
        <v>Občanská vybavenost</v>
      </c>
      <c r="D4" s="105"/>
      <c r="E4" s="113" t="s">
        <v>1122</v>
      </c>
      <c r="F4" s="113" t="str">
        <f>'Stavební rozpočet'!G4</f>
        <v>Ing. Stanislav Wilczek</v>
      </c>
      <c r="G4" s="105"/>
      <c r="H4" s="113" t="s">
        <v>1318</v>
      </c>
      <c r="I4" s="153"/>
      <c r="J4" s="5"/>
    </row>
    <row r="5" spans="1:10" x14ac:dyDescent="0.25">
      <c r="A5" s="104"/>
      <c r="B5" s="105"/>
      <c r="C5" s="105"/>
      <c r="D5" s="105"/>
      <c r="E5" s="105"/>
      <c r="F5" s="105"/>
      <c r="G5" s="105"/>
      <c r="H5" s="105"/>
      <c r="I5" s="111"/>
      <c r="J5" s="5"/>
    </row>
    <row r="6" spans="1:10" x14ac:dyDescent="0.25">
      <c r="A6" s="112" t="s">
        <v>3</v>
      </c>
      <c r="B6" s="105"/>
      <c r="C6" s="113" t="str">
        <f>'Stavební rozpočet'!C6</f>
        <v>Obec Doubrava, č.p. 546,  735 33 Doubrava</v>
      </c>
      <c r="D6" s="105"/>
      <c r="E6" s="113" t="s">
        <v>1123</v>
      </c>
      <c r="F6" s="113" t="str">
        <f>'Stavební rozpočet'!G6</f>
        <v> </v>
      </c>
      <c r="G6" s="105"/>
      <c r="H6" s="113" t="s">
        <v>1318</v>
      </c>
      <c r="I6" s="153"/>
      <c r="J6" s="5"/>
    </row>
    <row r="7" spans="1:10" x14ac:dyDescent="0.25">
      <c r="A7" s="104"/>
      <c r="B7" s="105"/>
      <c r="C7" s="105"/>
      <c r="D7" s="105"/>
      <c r="E7" s="105"/>
      <c r="F7" s="105"/>
      <c r="G7" s="105"/>
      <c r="H7" s="105"/>
      <c r="I7" s="111"/>
      <c r="J7" s="5"/>
    </row>
    <row r="8" spans="1:10" x14ac:dyDescent="0.25">
      <c r="A8" s="112" t="s">
        <v>1115</v>
      </c>
      <c r="B8" s="105"/>
      <c r="C8" s="113" t="str">
        <f>'Stavební rozpočet'!E4</f>
        <v xml:space="preserve"> </v>
      </c>
      <c r="D8" s="105"/>
      <c r="E8" s="113" t="s">
        <v>1116</v>
      </c>
      <c r="F8" s="113"/>
      <c r="G8" s="105"/>
      <c r="H8" s="114" t="s">
        <v>1319</v>
      </c>
      <c r="I8" s="153" t="s">
        <v>341</v>
      </c>
      <c r="J8" s="5"/>
    </row>
    <row r="9" spans="1:10" x14ac:dyDescent="0.25">
      <c r="A9" s="104"/>
      <c r="B9" s="105"/>
      <c r="C9" s="105"/>
      <c r="D9" s="105"/>
      <c r="E9" s="105"/>
      <c r="F9" s="105"/>
      <c r="G9" s="105"/>
      <c r="H9" s="105"/>
      <c r="I9" s="111"/>
      <c r="J9" s="5"/>
    </row>
    <row r="10" spans="1:10" x14ac:dyDescent="0.25">
      <c r="A10" s="112" t="s">
        <v>4</v>
      </c>
      <c r="B10" s="105"/>
      <c r="C10" s="113">
        <f>'Stavební rozpočet'!C8</f>
        <v>8013212</v>
      </c>
      <c r="D10" s="105"/>
      <c r="E10" s="113" t="s">
        <v>1124</v>
      </c>
      <c r="F10" s="113" t="str">
        <f>'Stavební rozpočet'!G8</f>
        <v>Ing. Stanislav Wilczek</v>
      </c>
      <c r="G10" s="105"/>
      <c r="H10" s="114" t="s">
        <v>1320</v>
      </c>
      <c r="I10" s="141" t="str">
        <f>'Stavební rozpočet'!E8</f>
        <v>18.12.2021</v>
      </c>
      <c r="J10" s="5"/>
    </row>
    <row r="11" spans="1:10" x14ac:dyDescent="0.25">
      <c r="A11" s="154"/>
      <c r="B11" s="148"/>
      <c r="C11" s="148"/>
      <c r="D11" s="148"/>
      <c r="E11" s="148"/>
      <c r="F11" s="148"/>
      <c r="G11" s="148"/>
      <c r="H11" s="148"/>
      <c r="I11" s="155"/>
      <c r="J11" s="5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0" ht="15.15" customHeight="1" x14ac:dyDescent="0.25">
      <c r="A13" s="175" t="s">
        <v>1322</v>
      </c>
      <c r="B13" s="176"/>
      <c r="C13" s="176"/>
      <c r="D13" s="176"/>
      <c r="E13" s="176"/>
      <c r="F13" s="90"/>
      <c r="G13" s="90"/>
      <c r="H13" s="90"/>
      <c r="I13" s="90"/>
    </row>
    <row r="14" spans="1:10" x14ac:dyDescent="0.25">
      <c r="A14" s="177" t="s">
        <v>1323</v>
      </c>
      <c r="B14" s="178"/>
      <c r="C14" s="178"/>
      <c r="D14" s="178"/>
      <c r="E14" s="179"/>
      <c r="F14" s="91" t="s">
        <v>1331</v>
      </c>
      <c r="G14" s="91" t="s">
        <v>1332</v>
      </c>
      <c r="H14" s="91" t="s">
        <v>1333</v>
      </c>
      <c r="I14" s="91" t="s">
        <v>1331</v>
      </c>
      <c r="J14" s="55"/>
    </row>
    <row r="15" spans="1:10" x14ac:dyDescent="0.25">
      <c r="A15" s="180" t="s">
        <v>1295</v>
      </c>
      <c r="B15" s="181"/>
      <c r="C15" s="181"/>
      <c r="D15" s="181"/>
      <c r="E15" s="182"/>
      <c r="F15" s="92">
        <v>0</v>
      </c>
      <c r="G15" s="95"/>
      <c r="H15" s="95"/>
      <c r="I15" s="92">
        <f>F15</f>
        <v>0</v>
      </c>
      <c r="J15" s="5"/>
    </row>
    <row r="16" spans="1:10" x14ac:dyDescent="0.25">
      <c r="A16" s="180" t="s">
        <v>1296</v>
      </c>
      <c r="B16" s="181"/>
      <c r="C16" s="181"/>
      <c r="D16" s="181"/>
      <c r="E16" s="182"/>
      <c r="F16" s="92">
        <v>0</v>
      </c>
      <c r="G16" s="95"/>
      <c r="H16" s="95"/>
      <c r="I16" s="92">
        <f>F16</f>
        <v>0</v>
      </c>
      <c r="J16" s="5"/>
    </row>
    <row r="17" spans="1:10" x14ac:dyDescent="0.25">
      <c r="A17" s="183" t="s">
        <v>1297</v>
      </c>
      <c r="B17" s="184"/>
      <c r="C17" s="184"/>
      <c r="D17" s="184"/>
      <c r="E17" s="185"/>
      <c r="F17" s="93">
        <v>0</v>
      </c>
      <c r="G17" s="96"/>
      <c r="H17" s="96"/>
      <c r="I17" s="93">
        <f>F17</f>
        <v>0</v>
      </c>
      <c r="J17" s="5"/>
    </row>
    <row r="18" spans="1:10" x14ac:dyDescent="0.25">
      <c r="A18" s="142" t="s">
        <v>1324</v>
      </c>
      <c r="B18" s="186"/>
      <c r="C18" s="186"/>
      <c r="D18" s="186"/>
      <c r="E18" s="187"/>
      <c r="F18" s="94"/>
      <c r="G18" s="97"/>
      <c r="H18" s="97"/>
      <c r="I18" s="98">
        <f>SUM(I15:I17)</f>
        <v>0</v>
      </c>
      <c r="J18" s="55"/>
    </row>
    <row r="19" spans="1:10" x14ac:dyDescent="0.25">
      <c r="A19" s="89"/>
      <c r="B19" s="89"/>
      <c r="C19" s="89"/>
      <c r="D19" s="89"/>
      <c r="E19" s="89"/>
      <c r="F19" s="89"/>
      <c r="G19" s="89"/>
      <c r="H19" s="89"/>
      <c r="I19" s="89"/>
    </row>
    <row r="20" spans="1:10" x14ac:dyDescent="0.25">
      <c r="A20" s="177" t="s">
        <v>1321</v>
      </c>
      <c r="B20" s="178"/>
      <c r="C20" s="178"/>
      <c r="D20" s="178"/>
      <c r="E20" s="179"/>
      <c r="F20" s="91" t="s">
        <v>1331</v>
      </c>
      <c r="G20" s="91" t="s">
        <v>1332</v>
      </c>
      <c r="H20" s="91" t="s">
        <v>1333</v>
      </c>
      <c r="I20" s="91" t="s">
        <v>1331</v>
      </c>
      <c r="J20" s="55"/>
    </row>
    <row r="21" spans="1:10" x14ac:dyDescent="0.25">
      <c r="A21" s="180" t="s">
        <v>1305</v>
      </c>
      <c r="B21" s="181"/>
      <c r="C21" s="181"/>
      <c r="D21" s="181"/>
      <c r="E21" s="182"/>
      <c r="F21" s="92">
        <v>0</v>
      </c>
      <c r="G21" s="95"/>
      <c r="H21" s="95"/>
      <c r="I21" s="92">
        <f t="shared" ref="I21:I26" si="0">F21</f>
        <v>0</v>
      </c>
      <c r="J21" s="5"/>
    </row>
    <row r="22" spans="1:10" x14ac:dyDescent="0.25">
      <c r="A22" s="180" t="s">
        <v>1306</v>
      </c>
      <c r="B22" s="181"/>
      <c r="C22" s="181"/>
      <c r="D22" s="181"/>
      <c r="E22" s="182"/>
      <c r="F22" s="92">
        <v>0</v>
      </c>
      <c r="G22" s="95"/>
      <c r="H22" s="95"/>
      <c r="I22" s="92">
        <f t="shared" si="0"/>
        <v>0</v>
      </c>
      <c r="J22" s="5"/>
    </row>
    <row r="23" spans="1:10" x14ac:dyDescent="0.25">
      <c r="A23" s="180" t="s">
        <v>1307</v>
      </c>
      <c r="B23" s="181"/>
      <c r="C23" s="181"/>
      <c r="D23" s="181"/>
      <c r="E23" s="182"/>
      <c r="F23" s="92">
        <v>0</v>
      </c>
      <c r="G23" s="95"/>
      <c r="H23" s="95"/>
      <c r="I23" s="92">
        <f t="shared" si="0"/>
        <v>0</v>
      </c>
      <c r="J23" s="5"/>
    </row>
    <row r="24" spans="1:10" x14ac:dyDescent="0.25">
      <c r="A24" s="180" t="s">
        <v>1308</v>
      </c>
      <c r="B24" s="181"/>
      <c r="C24" s="181"/>
      <c r="D24" s="181"/>
      <c r="E24" s="182"/>
      <c r="F24" s="92">
        <v>0</v>
      </c>
      <c r="G24" s="95"/>
      <c r="H24" s="95"/>
      <c r="I24" s="92">
        <f t="shared" si="0"/>
        <v>0</v>
      </c>
      <c r="J24" s="5"/>
    </row>
    <row r="25" spans="1:10" x14ac:dyDescent="0.25">
      <c r="A25" s="180" t="s">
        <v>1309</v>
      </c>
      <c r="B25" s="181"/>
      <c r="C25" s="181"/>
      <c r="D25" s="181"/>
      <c r="E25" s="182"/>
      <c r="F25" s="92">
        <v>0</v>
      </c>
      <c r="G25" s="95"/>
      <c r="H25" s="95"/>
      <c r="I25" s="92">
        <f t="shared" si="0"/>
        <v>0</v>
      </c>
      <c r="J25" s="5"/>
    </row>
    <row r="26" spans="1:10" x14ac:dyDescent="0.25">
      <c r="A26" s="183" t="s">
        <v>1310</v>
      </c>
      <c r="B26" s="184"/>
      <c r="C26" s="184"/>
      <c r="D26" s="184"/>
      <c r="E26" s="185"/>
      <c r="F26" s="93">
        <v>0</v>
      </c>
      <c r="G26" s="96"/>
      <c r="H26" s="96"/>
      <c r="I26" s="93">
        <f t="shared" si="0"/>
        <v>0</v>
      </c>
      <c r="J26" s="5"/>
    </row>
    <row r="27" spans="1:10" x14ac:dyDescent="0.25">
      <c r="A27" s="142" t="s">
        <v>1325</v>
      </c>
      <c r="B27" s="186"/>
      <c r="C27" s="186"/>
      <c r="D27" s="186"/>
      <c r="E27" s="187"/>
      <c r="F27" s="94"/>
      <c r="G27" s="97"/>
      <c r="H27" s="97"/>
      <c r="I27" s="98">
        <f>SUM(I21:I26)</f>
        <v>0</v>
      </c>
      <c r="J27" s="55"/>
    </row>
    <row r="28" spans="1:10" x14ac:dyDescent="0.25">
      <c r="A28" s="89"/>
      <c r="B28" s="89"/>
      <c r="C28" s="89"/>
      <c r="D28" s="89"/>
      <c r="E28" s="89"/>
      <c r="F28" s="89"/>
      <c r="G28" s="89"/>
      <c r="H28" s="89"/>
      <c r="I28" s="89"/>
    </row>
    <row r="29" spans="1:10" ht="15.15" customHeight="1" x14ac:dyDescent="0.25">
      <c r="A29" s="188" t="s">
        <v>1326</v>
      </c>
      <c r="B29" s="189"/>
      <c r="C29" s="189"/>
      <c r="D29" s="189"/>
      <c r="E29" s="190"/>
      <c r="F29" s="191">
        <f>I18+I27</f>
        <v>0</v>
      </c>
      <c r="G29" s="192"/>
      <c r="H29" s="192"/>
      <c r="I29" s="193"/>
      <c r="J29" s="55"/>
    </row>
    <row r="30" spans="1:10" x14ac:dyDescent="0.25">
      <c r="A30" s="81"/>
      <c r="B30" s="81"/>
      <c r="C30" s="81"/>
      <c r="D30" s="81"/>
      <c r="E30" s="81"/>
      <c r="F30" s="81"/>
      <c r="G30" s="81"/>
      <c r="H30" s="81"/>
      <c r="I30" s="81"/>
    </row>
    <row r="33" spans="1:10" ht="15.15" customHeight="1" x14ac:dyDescent="0.25">
      <c r="A33" s="175" t="s">
        <v>1327</v>
      </c>
      <c r="B33" s="176"/>
      <c r="C33" s="176"/>
      <c r="D33" s="176"/>
      <c r="E33" s="176"/>
      <c r="F33" s="90"/>
      <c r="G33" s="90"/>
      <c r="H33" s="90"/>
      <c r="I33" s="90"/>
    </row>
    <row r="34" spans="1:10" x14ac:dyDescent="0.25">
      <c r="A34" s="177" t="s">
        <v>1328</v>
      </c>
      <c r="B34" s="178"/>
      <c r="C34" s="178"/>
      <c r="D34" s="178"/>
      <c r="E34" s="179"/>
      <c r="F34" s="91" t="s">
        <v>1331</v>
      </c>
      <c r="G34" s="91" t="s">
        <v>1332</v>
      </c>
      <c r="H34" s="91" t="s">
        <v>1333</v>
      </c>
      <c r="I34" s="91" t="s">
        <v>1331</v>
      </c>
      <c r="J34" s="55"/>
    </row>
    <row r="35" spans="1:10" x14ac:dyDescent="0.25">
      <c r="A35" s="183"/>
      <c r="B35" s="184"/>
      <c r="C35" s="184"/>
      <c r="D35" s="184"/>
      <c r="E35" s="185"/>
      <c r="F35" s="93">
        <v>0</v>
      </c>
      <c r="G35" s="96"/>
      <c r="H35" s="96"/>
      <c r="I35" s="93">
        <f>F35</f>
        <v>0</v>
      </c>
      <c r="J35" s="5"/>
    </row>
    <row r="36" spans="1:10" x14ac:dyDescent="0.25">
      <c r="A36" s="142" t="s">
        <v>1329</v>
      </c>
      <c r="B36" s="186"/>
      <c r="C36" s="186"/>
      <c r="D36" s="186"/>
      <c r="E36" s="187"/>
      <c r="F36" s="94"/>
      <c r="G36" s="97"/>
      <c r="H36" s="97"/>
      <c r="I36" s="98">
        <f>SUM(I35:I35)</f>
        <v>0</v>
      </c>
      <c r="J36" s="55"/>
    </row>
    <row r="37" spans="1:10" x14ac:dyDescent="0.25">
      <c r="A37" s="81"/>
      <c r="B37" s="81"/>
      <c r="C37" s="81"/>
      <c r="D37" s="81"/>
      <c r="E37" s="81"/>
      <c r="F37" s="81"/>
      <c r="G37" s="81"/>
      <c r="H37" s="81"/>
      <c r="I37" s="81"/>
    </row>
  </sheetData>
  <mergeCells count="51">
    <mergeCell ref="A35:E35"/>
    <mergeCell ref="A36:E36"/>
    <mergeCell ref="A26:E26"/>
    <mergeCell ref="A27:E27"/>
    <mergeCell ref="A29:E29"/>
    <mergeCell ref="F29:I29"/>
    <mergeCell ref="A33:E33"/>
    <mergeCell ref="A34:E34"/>
    <mergeCell ref="A20:E20"/>
    <mergeCell ref="A21:E21"/>
    <mergeCell ref="A22:E22"/>
    <mergeCell ref="A23:E23"/>
    <mergeCell ref="A24:E24"/>
    <mergeCell ref="A25:E25"/>
    <mergeCell ref="A13:E13"/>
    <mergeCell ref="A14:E14"/>
    <mergeCell ref="A15:E15"/>
    <mergeCell ref="A16:E16"/>
    <mergeCell ref="A17:E17"/>
    <mergeCell ref="A18:E18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Stavební rozpočet - součet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</dc:creator>
  <cp:lastModifiedBy>Stanislav Wilczek</cp:lastModifiedBy>
  <dcterms:created xsi:type="dcterms:W3CDTF">2021-12-18T13:10:46Z</dcterms:created>
  <dcterms:modified xsi:type="dcterms:W3CDTF">2021-12-18T13:10:46Z</dcterms:modified>
</cp:coreProperties>
</file>